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.xml" ContentType="application/vnd.openxmlformats-officedocument.drawing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4.xml" ContentType="application/vnd.openxmlformats-officedocument.drawing+xml"/>
  <Override PartName="/xl/charts/chart64.xml" ContentType="application/vnd.openxmlformats-officedocument.drawingml.chart+xml"/>
  <Override PartName="/xl/drawings/drawing5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6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7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drawings/drawing8.xml" ContentType="application/vnd.openxmlformats-officedocument.drawing+xml"/>
  <Override PartName="/xl/charts/chart12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2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cities\Washington\"/>
    </mc:Choice>
  </mc:AlternateContent>
  <xr:revisionPtr revIDLastSave="0" documentId="13_ncr:1_{D4E7546D-09CD-4AC5-B07D-D40B24437DA5}" xr6:coauthVersionLast="47" xr6:coauthVersionMax="47" xr10:uidLastSave="{00000000-0000-0000-0000-000000000000}"/>
  <bookViews>
    <workbookView xWindow="-120" yWindow="-120" windowWidth="38640" windowHeight="15720" tabRatio="829" xr2:uid="{00000000-000D-0000-FFFF-FFFF00000000}"/>
  </bookViews>
  <sheets>
    <sheet name="Total Emissions Charts" sheetId="1" r:id="rId1"/>
    <sheet name="Per Capita Emissions Charts" sheetId="2" r:id="rId2"/>
    <sheet name="Total Energy Charts" sheetId="3" r:id="rId3"/>
    <sheet name="Per Capita Energy Charts" sheetId="4" r:id="rId4"/>
    <sheet name="Demographics Charts" sheetId="5" r:id="rId5"/>
    <sheet name="Transportation Energy Charts" sheetId="6" r:id="rId6"/>
    <sheet name="Transportation Emissions Charts" sheetId="7" r:id="rId7"/>
    <sheet name="Emission Reudction Wedges Chart" sheetId="17" r:id="rId8"/>
    <sheet name="Total Emissions" sheetId="8" r:id="rId9"/>
    <sheet name="Per Capita Emissions" sheetId="9" r:id="rId10"/>
    <sheet name="Total Energy" sheetId="10" r:id="rId11"/>
    <sheet name="Per Capita Energy" sheetId="11" r:id="rId12"/>
    <sheet name="Demographics" sheetId="12" r:id="rId13"/>
    <sheet name="Transportation Energy" sheetId="13" r:id="rId14"/>
    <sheet name="Transportation Emissions" sheetId="14" r:id="rId15"/>
    <sheet name="Emission Reudction Wedges" sheetId="16" r:id="rId16"/>
    <sheet name="Meta Data" sheetId="1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83" i="14" l="1"/>
  <c r="BB82" i="14"/>
  <c r="AY81" i="14"/>
  <c r="AV80" i="14"/>
  <c r="AS79" i="14"/>
  <c r="AP78" i="14"/>
  <c r="AM77" i="14"/>
  <c r="BE74" i="14"/>
  <c r="BB73" i="14"/>
  <c r="AY72" i="14"/>
  <c r="AV71" i="14"/>
  <c r="AS70" i="14"/>
  <c r="AP69" i="14"/>
  <c r="AM67" i="14"/>
  <c r="BE65" i="14"/>
  <c r="BB64" i="14"/>
  <c r="AY63" i="14"/>
  <c r="AV62" i="14"/>
  <c r="AS61" i="14"/>
  <c r="AP59" i="14"/>
  <c r="AM58" i="14"/>
  <c r="BE56" i="14"/>
  <c r="BB55" i="14"/>
  <c r="AY54" i="14"/>
  <c r="AV53" i="14"/>
  <c r="AS51" i="14"/>
  <c r="AP50" i="14"/>
  <c r="AM49" i="14"/>
  <c r="BE47" i="14"/>
  <c r="BB46" i="14"/>
  <c r="AY45" i="14"/>
  <c r="AV44" i="14"/>
  <c r="AR40" i="14"/>
  <c r="AO39" i="14"/>
  <c r="AL38" i="14"/>
  <c r="BD36" i="14"/>
  <c r="BA34" i="14"/>
  <c r="AX33" i="14"/>
  <c r="AU32" i="14"/>
  <c r="AR31" i="14"/>
  <c r="AO30" i="14"/>
  <c r="AL28" i="14"/>
  <c r="BD26" i="14"/>
  <c r="BA25" i="14"/>
  <c r="AX24" i="14"/>
  <c r="AU22" i="14"/>
  <c r="AR21" i="14"/>
  <c r="AO20" i="14"/>
  <c r="AL19" i="14"/>
  <c r="BD16" i="14"/>
  <c r="BA15" i="14"/>
  <c r="AX14" i="14"/>
  <c r="AU13" i="14"/>
  <c r="AR12" i="14"/>
  <c r="AO11" i="14"/>
  <c r="AQ7" i="14"/>
  <c r="AU5" i="14"/>
  <c r="AK4" i="14"/>
  <c r="AV72" i="13"/>
  <c r="AS71" i="13"/>
  <c r="AP70" i="13"/>
  <c r="AM69" i="13"/>
  <c r="BE66" i="13"/>
  <c r="BB65" i="13"/>
  <c r="AY64" i="13"/>
  <c r="AV62" i="13"/>
  <c r="AS61" i="13"/>
  <c r="AP60" i="13"/>
  <c r="AM59" i="13"/>
  <c r="BE56" i="13"/>
  <c r="BB55" i="13"/>
  <c r="AY54" i="13"/>
  <c r="AV52" i="13"/>
  <c r="AS51" i="13"/>
  <c r="AP50" i="13"/>
  <c r="AM49" i="13"/>
  <c r="BD44" i="13"/>
  <c r="BA43" i="13"/>
  <c r="AX42" i="13"/>
  <c r="AU41" i="13"/>
  <c r="AR40" i="13"/>
  <c r="AO38" i="13"/>
  <c r="AL37" i="13"/>
  <c r="BD35" i="13"/>
  <c r="BA34" i="13"/>
  <c r="AX33" i="13"/>
  <c r="AU31" i="13"/>
  <c r="AR30" i="13"/>
  <c r="AO29" i="13"/>
  <c r="AL28" i="13"/>
  <c r="BD26" i="13"/>
  <c r="BA24" i="13"/>
  <c r="AX23" i="13"/>
  <c r="AU22" i="13"/>
  <c r="BD83" i="14"/>
  <c r="BA82" i="14"/>
  <c r="AX81" i="14"/>
  <c r="AU80" i="14"/>
  <c r="AR79" i="14"/>
  <c r="AO78" i="14"/>
  <c r="AL77" i="14"/>
  <c r="BD74" i="14"/>
  <c r="BA73" i="14"/>
  <c r="AX72" i="14"/>
  <c r="AU71" i="14"/>
  <c r="AR70" i="14"/>
  <c r="AO69" i="14"/>
  <c r="AL67" i="14"/>
  <c r="BD65" i="14"/>
  <c r="BA64" i="14"/>
  <c r="AX63" i="14"/>
  <c r="AU62" i="14"/>
  <c r="AR61" i="14"/>
  <c r="AO59" i="14"/>
  <c r="AL58" i="14"/>
  <c r="BD56" i="14"/>
  <c r="BA55" i="14"/>
  <c r="AX54" i="14"/>
  <c r="AU53" i="14"/>
  <c r="AR51" i="14"/>
  <c r="AO50" i="14"/>
  <c r="AL49" i="14"/>
  <c r="BD47" i="14"/>
  <c r="BA46" i="14"/>
  <c r="AX45" i="14"/>
  <c r="AU44" i="14"/>
  <c r="AQ40" i="14"/>
  <c r="AN39" i="14"/>
  <c r="AK38" i="14"/>
  <c r="BC36" i="14"/>
  <c r="AZ34" i="14"/>
  <c r="AW33" i="14"/>
  <c r="AT32" i="14"/>
  <c r="AQ31" i="14"/>
  <c r="AN30" i="14"/>
  <c r="AK28" i="14"/>
  <c r="BC26" i="14"/>
  <c r="AZ25" i="14"/>
  <c r="AW24" i="14"/>
  <c r="AT22" i="14"/>
  <c r="AQ21" i="14"/>
  <c r="AN20" i="14"/>
  <c r="AK19" i="14"/>
  <c r="BC16" i="14"/>
  <c r="AZ15" i="14"/>
  <c r="AW14" i="14"/>
  <c r="AT13" i="14"/>
  <c r="AQ12" i="14"/>
  <c r="AN11" i="14"/>
  <c r="AP7" i="14"/>
  <c r="AT5" i="14"/>
  <c r="AJ4" i="14"/>
  <c r="AU72" i="13"/>
  <c r="AR71" i="13"/>
  <c r="AO70" i="13"/>
  <c r="AL69" i="13"/>
  <c r="BD66" i="13"/>
  <c r="BA65" i="13"/>
  <c r="AX64" i="13"/>
  <c r="AU62" i="13"/>
  <c r="AR61" i="13"/>
  <c r="AO60" i="13"/>
  <c r="AL59" i="13"/>
  <c r="BD56" i="13"/>
  <c r="BA55" i="13"/>
  <c r="AX54" i="13"/>
  <c r="AU52" i="13"/>
  <c r="AR51" i="13"/>
  <c r="AO50" i="13"/>
  <c r="AL49" i="13"/>
  <c r="BC44" i="13"/>
  <c r="AZ43" i="13"/>
  <c r="AW42" i="13"/>
  <c r="AT41" i="13"/>
  <c r="AQ40" i="13"/>
  <c r="AN38" i="13"/>
  <c r="AK37" i="13"/>
  <c r="BC35" i="13"/>
  <c r="AZ34" i="13"/>
  <c r="AW33" i="13"/>
  <c r="AT31" i="13"/>
  <c r="AQ30" i="13"/>
  <c r="AN29" i="13"/>
  <c r="AK28" i="13"/>
  <c r="BC26" i="13"/>
  <c r="AZ24" i="13"/>
  <c r="AW23" i="13"/>
  <c r="AT22" i="13"/>
  <c r="AQ21" i="13"/>
  <c r="BC83" i="14"/>
  <c r="AZ82" i="14"/>
  <c r="AW81" i="14"/>
  <c r="AT80" i="14"/>
  <c r="AQ79" i="14"/>
  <c r="AN78" i="14"/>
  <c r="AK77" i="14"/>
  <c r="BC74" i="14"/>
  <c r="AZ73" i="14"/>
  <c r="AW72" i="14"/>
  <c r="AT71" i="14"/>
  <c r="AQ70" i="14"/>
  <c r="AN69" i="14"/>
  <c r="AK67" i="14"/>
  <c r="BC65" i="14"/>
  <c r="AZ64" i="14"/>
  <c r="AW63" i="14"/>
  <c r="AT62" i="14"/>
  <c r="AQ61" i="14"/>
  <c r="AN59" i="14"/>
  <c r="AK58" i="14"/>
  <c r="BC56" i="14"/>
  <c r="AZ55" i="14"/>
  <c r="AW54" i="14"/>
  <c r="AT53" i="14"/>
  <c r="AQ51" i="14"/>
  <c r="AN50" i="14"/>
  <c r="AK49" i="14"/>
  <c r="BC47" i="14"/>
  <c r="AZ46" i="14"/>
  <c r="AW45" i="14"/>
  <c r="AT44" i="14"/>
  <c r="AP40" i="14"/>
  <c r="AM39" i="14"/>
  <c r="BE37" i="14"/>
  <c r="BB36" i="14"/>
  <c r="AY34" i="14"/>
  <c r="AV33" i="14"/>
  <c r="AS32" i="14"/>
  <c r="AP31" i="14"/>
  <c r="AM30" i="14"/>
  <c r="BE27" i="14"/>
  <c r="BB26" i="14"/>
  <c r="AY25" i="14"/>
  <c r="AV24" i="14"/>
  <c r="AS22" i="14"/>
  <c r="AP21" i="14"/>
  <c r="AM20" i="14"/>
  <c r="BE18" i="14"/>
  <c r="BB16" i="14"/>
  <c r="AY15" i="14"/>
  <c r="AV14" i="14"/>
  <c r="AS13" i="14"/>
  <c r="AP12" i="14"/>
  <c r="AM11" i="14"/>
  <c r="AO7" i="14"/>
  <c r="AS5" i="14"/>
  <c r="AW3" i="14"/>
  <c r="AT72" i="13"/>
  <c r="AQ71" i="13"/>
  <c r="AN70" i="13"/>
  <c r="AK69" i="13"/>
  <c r="BC66" i="13"/>
  <c r="AZ65" i="13"/>
  <c r="AW64" i="13"/>
  <c r="AT62" i="13"/>
  <c r="AQ61" i="13"/>
  <c r="AN60" i="13"/>
  <c r="AK59" i="13"/>
  <c r="BC56" i="13"/>
  <c r="AZ55" i="13"/>
  <c r="AW54" i="13"/>
  <c r="AT52" i="13"/>
  <c r="AQ51" i="13"/>
  <c r="AN50" i="13"/>
  <c r="AK49" i="13"/>
  <c r="BB44" i="13"/>
  <c r="AY43" i="13"/>
  <c r="AV42" i="13"/>
  <c r="AS41" i="13"/>
  <c r="AP40" i="13"/>
  <c r="AM38" i="13"/>
  <c r="BE36" i="13"/>
  <c r="BB35" i="13"/>
  <c r="AY34" i="13"/>
  <c r="AV33" i="13"/>
  <c r="AS31" i="13"/>
  <c r="AP30" i="13"/>
  <c r="AM29" i="13"/>
  <c r="BE27" i="13"/>
  <c r="BB26" i="13"/>
  <c r="AY24" i="13"/>
  <c r="AV23" i="13"/>
  <c r="AS22" i="13"/>
  <c r="AP21" i="13"/>
  <c r="AM20" i="13"/>
  <c r="BE17" i="13"/>
  <c r="BB16" i="13"/>
  <c r="AY15" i="13"/>
  <c r="AV14" i="13"/>
  <c r="AS13" i="13"/>
  <c r="AP12" i="13"/>
  <c r="AM11" i="13"/>
  <c r="AO7" i="13"/>
  <c r="AS5" i="13"/>
  <c r="AW3" i="13"/>
  <c r="AM23" i="12"/>
  <c r="AQ21" i="12"/>
  <c r="AU19" i="12"/>
  <c r="AK18" i="12"/>
  <c r="AO16" i="12"/>
  <c r="AS14" i="12"/>
  <c r="AW12" i="12"/>
  <c r="AM11" i="12"/>
  <c r="AQ9" i="12"/>
  <c r="AU7" i="12"/>
  <c r="AK6" i="12"/>
  <c r="AO4" i="12"/>
  <c r="AQ8" i="11"/>
  <c r="AU6" i="11"/>
  <c r="AK5" i="11"/>
  <c r="AO3" i="11"/>
  <c r="AL195" i="10"/>
  <c r="BD193" i="10"/>
  <c r="BA192" i="10"/>
  <c r="AX191" i="10"/>
  <c r="BB83" i="14"/>
  <c r="AY82" i="14"/>
  <c r="AV81" i="14"/>
  <c r="AS80" i="14"/>
  <c r="AP79" i="14"/>
  <c r="AM78" i="14"/>
  <c r="BE75" i="14"/>
  <c r="BB74" i="14"/>
  <c r="AY73" i="14"/>
  <c r="AV72" i="14"/>
  <c r="AS71" i="14"/>
  <c r="AP70" i="14"/>
  <c r="AM69" i="14"/>
  <c r="BE66" i="14"/>
  <c r="BB65" i="14"/>
  <c r="AY64" i="14"/>
  <c r="AV63" i="14"/>
  <c r="AS62" i="14"/>
  <c r="AP61" i="14"/>
  <c r="AM59" i="14"/>
  <c r="BE57" i="14"/>
  <c r="BB56" i="14"/>
  <c r="AY55" i="14"/>
  <c r="AV54" i="14"/>
  <c r="AS53" i="14"/>
  <c r="AP51" i="14"/>
  <c r="AM50" i="14"/>
  <c r="BE48" i="14"/>
  <c r="BB47" i="14"/>
  <c r="AY46" i="14"/>
  <c r="AV45" i="14"/>
  <c r="AS44" i="14"/>
  <c r="AO40" i="14"/>
  <c r="AL39" i="14"/>
  <c r="BD37" i="14"/>
  <c r="BA36" i="14"/>
  <c r="AX34" i="14"/>
  <c r="AU33" i="14"/>
  <c r="AR32" i="14"/>
  <c r="AO31" i="14"/>
  <c r="AL30" i="14"/>
  <c r="BD27" i="14"/>
  <c r="BA26" i="14"/>
  <c r="AX25" i="14"/>
  <c r="AU24" i="14"/>
  <c r="AR22" i="14"/>
  <c r="AO21" i="14"/>
  <c r="AL20" i="14"/>
  <c r="BD18" i="14"/>
  <c r="BA16" i="14"/>
  <c r="AX15" i="14"/>
  <c r="AU14" i="14"/>
  <c r="AR13" i="14"/>
  <c r="AO12" i="14"/>
  <c r="AL11" i="14"/>
  <c r="AN7" i="14"/>
  <c r="AR5" i="14"/>
  <c r="AV3" i="14"/>
  <c r="AS72" i="13"/>
  <c r="AP71" i="13"/>
  <c r="AM70" i="13"/>
  <c r="BE67" i="13"/>
  <c r="BB66" i="13"/>
  <c r="AY65" i="13"/>
  <c r="AV64" i="13"/>
  <c r="AS62" i="13"/>
  <c r="AP61" i="13"/>
  <c r="AM60" i="13"/>
  <c r="BE57" i="13"/>
  <c r="BB56" i="13"/>
  <c r="AY55" i="13"/>
  <c r="AV54" i="13"/>
  <c r="AS52" i="13"/>
  <c r="AP51" i="13"/>
  <c r="AM50" i="13"/>
  <c r="BE48" i="13"/>
  <c r="BA44" i="13"/>
  <c r="AX43" i="13"/>
  <c r="AU42" i="13"/>
  <c r="AR41" i="13"/>
  <c r="AO40" i="13"/>
  <c r="AL38" i="13"/>
  <c r="BA83" i="14"/>
  <c r="AX82" i="14"/>
  <c r="AU81" i="14"/>
  <c r="AR80" i="14"/>
  <c r="AO79" i="14"/>
  <c r="AL78" i="14"/>
  <c r="BD75" i="14"/>
  <c r="BA74" i="14"/>
  <c r="AX73" i="14"/>
  <c r="AU72" i="14"/>
  <c r="AR71" i="14"/>
  <c r="AO70" i="14"/>
  <c r="AL69" i="14"/>
  <c r="BD66" i="14"/>
  <c r="BA65" i="14"/>
  <c r="AX64" i="14"/>
  <c r="AU63" i="14"/>
  <c r="AR62" i="14"/>
  <c r="AO61" i="14"/>
  <c r="AL59" i="14"/>
  <c r="BD57" i="14"/>
  <c r="BA56" i="14"/>
  <c r="AX55" i="14"/>
  <c r="AU54" i="14"/>
  <c r="AR53" i="14"/>
  <c r="AO51" i="14"/>
  <c r="AL50" i="14"/>
  <c r="BD48" i="14"/>
  <c r="BA47" i="14"/>
  <c r="AX46" i="14"/>
  <c r="AU45" i="14"/>
  <c r="AR44" i="14"/>
  <c r="AN40" i="14"/>
  <c r="AK39" i="14"/>
  <c r="BC37" i="14"/>
  <c r="AZ36" i="14"/>
  <c r="AW34" i="14"/>
  <c r="AT33" i="14"/>
  <c r="AQ32" i="14"/>
  <c r="AN31" i="14"/>
  <c r="AK30" i="14"/>
  <c r="BC27" i="14"/>
  <c r="AZ26" i="14"/>
  <c r="AW25" i="14"/>
  <c r="AT24" i="14"/>
  <c r="AQ22" i="14"/>
  <c r="AN21" i="14"/>
  <c r="AK20" i="14"/>
  <c r="BC18" i="14"/>
  <c r="AZ16" i="14"/>
  <c r="AW15" i="14"/>
  <c r="AT14" i="14"/>
  <c r="AQ13" i="14"/>
  <c r="AN12" i="14"/>
  <c r="AW8" i="14"/>
  <c r="AM7" i="14"/>
  <c r="AQ5" i="14"/>
  <c r="AU3" i="14"/>
  <c r="AR72" i="13"/>
  <c r="AO71" i="13"/>
  <c r="AL70" i="13"/>
  <c r="BD67" i="13"/>
  <c r="BA66" i="13"/>
  <c r="AX65" i="13"/>
  <c r="AU64" i="13"/>
  <c r="AR62" i="13"/>
  <c r="AO61" i="13"/>
  <c r="AL60" i="13"/>
  <c r="BD57" i="13"/>
  <c r="BA56" i="13"/>
  <c r="AX55" i="13"/>
  <c r="AU54" i="13"/>
  <c r="AR52" i="13"/>
  <c r="AO51" i="13"/>
  <c r="AL50" i="13"/>
  <c r="BD48" i="13"/>
  <c r="AZ44" i="13"/>
  <c r="AW43" i="13"/>
  <c r="AT42" i="13"/>
  <c r="AQ41" i="13"/>
  <c r="AN40" i="13"/>
  <c r="AK38" i="13"/>
  <c r="BC36" i="13"/>
  <c r="AZ35" i="13"/>
  <c r="AW34" i="13"/>
  <c r="AT33" i="13"/>
  <c r="AQ31" i="13"/>
  <c r="AN30" i="13"/>
  <c r="AK29" i="13"/>
  <c r="BC27" i="13"/>
  <c r="AZ26" i="13"/>
  <c r="AW24" i="13"/>
  <c r="AT23" i="13"/>
  <c r="AQ22" i="13"/>
  <c r="AN21" i="13"/>
  <c r="AK20" i="13"/>
  <c r="BC17" i="13"/>
  <c r="AZ16" i="13"/>
  <c r="AW15" i="13"/>
  <c r="AT14" i="13"/>
  <c r="AQ13" i="13"/>
  <c r="AN12" i="13"/>
  <c r="AW8" i="13"/>
  <c r="AM7" i="13"/>
  <c r="AQ5" i="13"/>
  <c r="AU3" i="13"/>
  <c r="AK23" i="12"/>
  <c r="AO21" i="12"/>
  <c r="AS19" i="12"/>
  <c r="AW17" i="12"/>
  <c r="AM16" i="12"/>
  <c r="AQ14" i="12"/>
  <c r="AU12" i="12"/>
  <c r="AK11" i="12"/>
  <c r="AO9" i="12"/>
  <c r="AS7" i="12"/>
  <c r="AW5" i="12"/>
  <c r="AM4" i="12"/>
  <c r="AO8" i="11"/>
  <c r="AS6" i="11"/>
  <c r="AW4" i="11"/>
  <c r="AM3" i="11"/>
  <c r="BE194" i="10"/>
  <c r="BB193" i="10"/>
  <c r="AY192" i="10"/>
  <c r="AV191" i="10"/>
  <c r="AS190" i="10"/>
  <c r="AZ83" i="14"/>
  <c r="AW82" i="14"/>
  <c r="AT81" i="14"/>
  <c r="AQ80" i="14"/>
  <c r="AN79" i="14"/>
  <c r="AK78" i="14"/>
  <c r="BC75" i="14"/>
  <c r="AZ74" i="14"/>
  <c r="AW73" i="14"/>
  <c r="AT72" i="14"/>
  <c r="AQ71" i="14"/>
  <c r="AN70" i="14"/>
  <c r="AK69" i="14"/>
  <c r="BC66" i="14"/>
  <c r="AZ65" i="14"/>
  <c r="AW64" i="14"/>
  <c r="AT63" i="14"/>
  <c r="AQ62" i="14"/>
  <c r="AN61" i="14"/>
  <c r="AK59" i="14"/>
  <c r="BC57" i="14"/>
  <c r="AZ56" i="14"/>
  <c r="AW55" i="14"/>
  <c r="AT54" i="14"/>
  <c r="AQ53" i="14"/>
  <c r="AN51" i="14"/>
  <c r="AK50" i="14"/>
  <c r="BC48" i="14"/>
  <c r="AZ47" i="14"/>
  <c r="AW46" i="14"/>
  <c r="AT45" i="14"/>
  <c r="AQ44" i="14"/>
  <c r="AM40" i="14"/>
  <c r="BE38" i="14"/>
  <c r="BB37" i="14"/>
  <c r="AY36" i="14"/>
  <c r="AV34" i="14"/>
  <c r="AS33" i="14"/>
  <c r="AP32" i="14"/>
  <c r="AM31" i="14"/>
  <c r="BE28" i="14"/>
  <c r="BB27" i="14"/>
  <c r="AY26" i="14"/>
  <c r="AV25" i="14"/>
  <c r="AS24" i="14"/>
  <c r="AP22" i="14"/>
  <c r="AM21" i="14"/>
  <c r="BE19" i="14"/>
  <c r="BB18" i="14"/>
  <c r="AY16" i="14"/>
  <c r="AV15" i="14"/>
  <c r="AS14" i="14"/>
  <c r="AP13" i="14"/>
  <c r="AM12" i="14"/>
  <c r="AV8" i="14"/>
  <c r="AL7" i="14"/>
  <c r="AP5" i="14"/>
  <c r="AT3" i="14"/>
  <c r="AQ72" i="13"/>
  <c r="AN71" i="13"/>
  <c r="AK70" i="13"/>
  <c r="BC67" i="13"/>
  <c r="AZ66" i="13"/>
  <c r="AW65" i="13"/>
  <c r="AT64" i="13"/>
  <c r="AQ62" i="13"/>
  <c r="AN61" i="13"/>
  <c r="AK60" i="13"/>
  <c r="BC57" i="13"/>
  <c r="AZ56" i="13"/>
  <c r="AW55" i="13"/>
  <c r="AT54" i="13"/>
  <c r="AQ52" i="13"/>
  <c r="AN51" i="13"/>
  <c r="AK50" i="13"/>
  <c r="BC48" i="13"/>
  <c r="AY44" i="13"/>
  <c r="AV43" i="13"/>
  <c r="AS42" i="13"/>
  <c r="AP41" i="13"/>
  <c r="AM40" i="13"/>
  <c r="BE37" i="13"/>
  <c r="BB36" i="13"/>
  <c r="AY35" i="13"/>
  <c r="AV34" i="13"/>
  <c r="AS33" i="13"/>
  <c r="AP31" i="13"/>
  <c r="AM30" i="13"/>
  <c r="BE28" i="13"/>
  <c r="BB27" i="13"/>
  <c r="AY26" i="13"/>
  <c r="AV24" i="13"/>
  <c r="AS23" i="13"/>
  <c r="AP22" i="13"/>
  <c r="AM21" i="13"/>
  <c r="BE19" i="13"/>
  <c r="BB17" i="13"/>
  <c r="AY16" i="13"/>
  <c r="AV15" i="13"/>
  <c r="AS14" i="13"/>
  <c r="AP13" i="13"/>
  <c r="AM12" i="13"/>
  <c r="AV8" i="13"/>
  <c r="AL7" i="13"/>
  <c r="AP5" i="13"/>
  <c r="AT3" i="13"/>
  <c r="AX22" i="12"/>
  <c r="AN21" i="12"/>
  <c r="AR19" i="12"/>
  <c r="AV17" i="12"/>
  <c r="AL16" i="12"/>
  <c r="AP14" i="12"/>
  <c r="AT12" i="12"/>
  <c r="AX10" i="12"/>
  <c r="AN9" i="12"/>
  <c r="AR7" i="12"/>
  <c r="AV5" i="12"/>
  <c r="AL4" i="12"/>
  <c r="AN8" i="11"/>
  <c r="AY83" i="14"/>
  <c r="AV82" i="14"/>
  <c r="AS81" i="14"/>
  <c r="AP80" i="14"/>
  <c r="AM79" i="14"/>
  <c r="BE77" i="14"/>
  <c r="BB75" i="14"/>
  <c r="AY74" i="14"/>
  <c r="AV73" i="14"/>
  <c r="AS72" i="14"/>
  <c r="AP71" i="14"/>
  <c r="AM70" i="14"/>
  <c r="BE67" i="14"/>
  <c r="BB66" i="14"/>
  <c r="AY65" i="14"/>
  <c r="AV64" i="14"/>
  <c r="AS63" i="14"/>
  <c r="AP62" i="14"/>
  <c r="AM61" i="14"/>
  <c r="BE58" i="14"/>
  <c r="BB57" i="14"/>
  <c r="AY56" i="14"/>
  <c r="AV55" i="14"/>
  <c r="AS54" i="14"/>
  <c r="AP53" i="14"/>
  <c r="AM51" i="14"/>
  <c r="BE49" i="14"/>
  <c r="BB48" i="14"/>
  <c r="AY47" i="14"/>
  <c r="AV46" i="14"/>
  <c r="AS45" i="14"/>
  <c r="AP44" i="14"/>
  <c r="AL40" i="14"/>
  <c r="BD38" i="14"/>
  <c r="BA37" i="14"/>
  <c r="AX36" i="14"/>
  <c r="AU34" i="14"/>
  <c r="AR33" i="14"/>
  <c r="AO32" i="14"/>
  <c r="AL31" i="14"/>
  <c r="BD28" i="14"/>
  <c r="BA27" i="14"/>
  <c r="AX26" i="14"/>
  <c r="AU25" i="14"/>
  <c r="AR24" i="14"/>
  <c r="AO22" i="14"/>
  <c r="AL21" i="14"/>
  <c r="BD19" i="14"/>
  <c r="BA18" i="14"/>
  <c r="AX16" i="14"/>
  <c r="AU15" i="14"/>
  <c r="AR14" i="14"/>
  <c r="AO13" i="14"/>
  <c r="AL12" i="14"/>
  <c r="AU8" i="14"/>
  <c r="AK7" i="14"/>
  <c r="AO5" i="14"/>
  <c r="AS3" i="14"/>
  <c r="AP72" i="13"/>
  <c r="AM71" i="13"/>
  <c r="BE69" i="13"/>
  <c r="BB67" i="13"/>
  <c r="AY66" i="13"/>
  <c r="AV65" i="13"/>
  <c r="AS64" i="13"/>
  <c r="AP62" i="13"/>
  <c r="AM61" i="13"/>
  <c r="BE59" i="13"/>
  <c r="BB57" i="13"/>
  <c r="AY56" i="13"/>
  <c r="AV55" i="13"/>
  <c r="AS54" i="13"/>
  <c r="AP52" i="13"/>
  <c r="AM51" i="13"/>
  <c r="BE49" i="13"/>
  <c r="BB48" i="13"/>
  <c r="AX44" i="13"/>
  <c r="AX83" i="14"/>
  <c r="AU82" i="14"/>
  <c r="AR81" i="14"/>
  <c r="AO80" i="14"/>
  <c r="AL79" i="14"/>
  <c r="BD77" i="14"/>
  <c r="BA75" i="14"/>
  <c r="AX74" i="14"/>
  <c r="AU73" i="14"/>
  <c r="AR72" i="14"/>
  <c r="AO71" i="14"/>
  <c r="AL70" i="14"/>
  <c r="BD67" i="14"/>
  <c r="BA66" i="14"/>
  <c r="AX65" i="14"/>
  <c r="AU64" i="14"/>
  <c r="AR63" i="14"/>
  <c r="AO62" i="14"/>
  <c r="AL61" i="14"/>
  <c r="BD58" i="14"/>
  <c r="BA57" i="14"/>
  <c r="AX56" i="14"/>
  <c r="AU55" i="14"/>
  <c r="AR54" i="14"/>
  <c r="AO53" i="14"/>
  <c r="AL51" i="14"/>
  <c r="BD49" i="14"/>
  <c r="BA48" i="14"/>
  <c r="AX47" i="14"/>
  <c r="AU46" i="14"/>
  <c r="AR45" i="14"/>
  <c r="AO44" i="14"/>
  <c r="AK40" i="14"/>
  <c r="BC38" i="14"/>
  <c r="AZ37" i="14"/>
  <c r="AW36" i="14"/>
  <c r="AT34" i="14"/>
  <c r="AQ33" i="14"/>
  <c r="AN32" i="14"/>
  <c r="AK31" i="14"/>
  <c r="BC28" i="14"/>
  <c r="AZ27" i="14"/>
  <c r="AW26" i="14"/>
  <c r="AT25" i="14"/>
  <c r="AQ24" i="14"/>
  <c r="AN22" i="14"/>
  <c r="AK21" i="14"/>
  <c r="BC19" i="14"/>
  <c r="AZ18" i="14"/>
  <c r="AW16" i="14"/>
  <c r="AT15" i="14"/>
  <c r="AQ14" i="14"/>
  <c r="AN13" i="14"/>
  <c r="AK12" i="14"/>
  <c r="AT8" i="14"/>
  <c r="AJ7" i="14"/>
  <c r="AN5" i="14"/>
  <c r="AR3" i="14"/>
  <c r="AO72" i="13"/>
  <c r="AL71" i="13"/>
  <c r="BD69" i="13"/>
  <c r="BA67" i="13"/>
  <c r="AX66" i="13"/>
  <c r="AU65" i="13"/>
  <c r="AR64" i="13"/>
  <c r="AO62" i="13"/>
  <c r="AL61" i="13"/>
  <c r="BD59" i="13"/>
  <c r="BA57" i="13"/>
  <c r="AX56" i="13"/>
  <c r="AU55" i="13"/>
  <c r="AR54" i="13"/>
  <c r="AO52" i="13"/>
  <c r="AL51" i="13"/>
  <c r="BD49" i="13"/>
  <c r="BA48" i="13"/>
  <c r="AW44" i="13"/>
  <c r="AT43" i="13"/>
  <c r="AQ42" i="13"/>
  <c r="AN41" i="13"/>
  <c r="AK40" i="13"/>
  <c r="BC37" i="13"/>
  <c r="AZ36" i="13"/>
  <c r="AW35" i="13"/>
  <c r="AT34" i="13"/>
  <c r="AQ33" i="13"/>
  <c r="AN31" i="13"/>
  <c r="AK30" i="13"/>
  <c r="BC28" i="13"/>
  <c r="AZ27" i="13"/>
  <c r="AW26" i="13"/>
  <c r="AT24" i="13"/>
  <c r="AQ23" i="13"/>
  <c r="AN22" i="13"/>
  <c r="AW83" i="14"/>
  <c r="AT82" i="14"/>
  <c r="AQ81" i="14"/>
  <c r="AN80" i="14"/>
  <c r="AK79" i="14"/>
  <c r="BC77" i="14"/>
  <c r="AZ75" i="14"/>
  <c r="AW74" i="14"/>
  <c r="AT73" i="14"/>
  <c r="AQ72" i="14"/>
  <c r="AN71" i="14"/>
  <c r="AK70" i="14"/>
  <c r="BC67" i="14"/>
  <c r="AZ66" i="14"/>
  <c r="AW65" i="14"/>
  <c r="AT64" i="14"/>
  <c r="AQ63" i="14"/>
  <c r="AN62" i="14"/>
  <c r="AK61" i="14"/>
  <c r="BC58" i="14"/>
  <c r="AZ57" i="14"/>
  <c r="AW56" i="14"/>
  <c r="AT55" i="14"/>
  <c r="AQ54" i="14"/>
  <c r="AN53" i="14"/>
  <c r="AK51" i="14"/>
  <c r="BC49" i="14"/>
  <c r="AZ48" i="14"/>
  <c r="AW47" i="14"/>
  <c r="AT46" i="14"/>
  <c r="AQ45" i="14"/>
  <c r="AN44" i="14"/>
  <c r="BE39" i="14"/>
  <c r="BB38" i="14"/>
  <c r="AY37" i="14"/>
  <c r="AV36" i="14"/>
  <c r="AS34" i="14"/>
  <c r="AP33" i="14"/>
  <c r="AM32" i="14"/>
  <c r="BE30" i="14"/>
  <c r="BB28" i="14"/>
  <c r="AY27" i="14"/>
  <c r="AV26" i="14"/>
  <c r="AS25" i="14"/>
  <c r="AP24" i="14"/>
  <c r="AM22" i="14"/>
  <c r="BE20" i="14"/>
  <c r="BB19" i="14"/>
  <c r="AY18" i="14"/>
  <c r="AV16" i="14"/>
  <c r="AS15" i="14"/>
  <c r="AP14" i="14"/>
  <c r="AM13" i="14"/>
  <c r="BE11" i="14"/>
  <c r="AS8" i="14"/>
  <c r="AW6" i="14"/>
  <c r="AM5" i="14"/>
  <c r="AQ3" i="14"/>
  <c r="AN72" i="13"/>
  <c r="AK71" i="13"/>
  <c r="BC69" i="13"/>
  <c r="AZ67" i="13"/>
  <c r="AW66" i="13"/>
  <c r="AT65" i="13"/>
  <c r="AQ64" i="13"/>
  <c r="AN62" i="13"/>
  <c r="AK61" i="13"/>
  <c r="BC59" i="13"/>
  <c r="AZ57" i="13"/>
  <c r="AW56" i="13"/>
  <c r="AT55" i="13"/>
  <c r="AQ54" i="13"/>
  <c r="AN52" i="13"/>
  <c r="AK51" i="13"/>
  <c r="BC49" i="13"/>
  <c r="AZ48" i="13"/>
  <c r="AV44" i="13"/>
  <c r="AS43" i="13"/>
  <c r="AP42" i="13"/>
  <c r="AM41" i="13"/>
  <c r="BE38" i="13"/>
  <c r="AV83" i="14"/>
  <c r="AS82" i="14"/>
  <c r="AP81" i="14"/>
  <c r="AM80" i="14"/>
  <c r="BE78" i="14"/>
  <c r="BB77" i="14"/>
  <c r="AY75" i="14"/>
  <c r="AV74" i="14"/>
  <c r="AS73" i="14"/>
  <c r="AP72" i="14"/>
  <c r="AM71" i="14"/>
  <c r="BE69" i="14"/>
  <c r="BB67" i="14"/>
  <c r="AY66" i="14"/>
  <c r="AV65" i="14"/>
  <c r="AS64" i="14"/>
  <c r="AP63" i="14"/>
  <c r="AM62" i="14"/>
  <c r="BE59" i="14"/>
  <c r="BB58" i="14"/>
  <c r="AY57" i="14"/>
  <c r="AV56" i="14"/>
  <c r="AS55" i="14"/>
  <c r="AP54" i="14"/>
  <c r="AM53" i="14"/>
  <c r="BE50" i="14"/>
  <c r="BB49" i="14"/>
  <c r="AY48" i="14"/>
  <c r="AV47" i="14"/>
  <c r="AS46" i="14"/>
  <c r="AP45" i="14"/>
  <c r="AM44" i="14"/>
  <c r="BD39" i="14"/>
  <c r="BA38" i="14"/>
  <c r="AX37" i="14"/>
  <c r="AU36" i="14"/>
  <c r="AR34" i="14"/>
  <c r="AO33" i="14"/>
  <c r="AL32" i="14"/>
  <c r="BD30" i="14"/>
  <c r="BA28" i="14"/>
  <c r="AX27" i="14"/>
  <c r="AU26" i="14"/>
  <c r="AR25" i="14"/>
  <c r="AO24" i="14"/>
  <c r="AL22" i="14"/>
  <c r="BD20" i="14"/>
  <c r="BA19" i="14"/>
  <c r="AX18" i="14"/>
  <c r="AU16" i="14"/>
  <c r="AR15" i="14"/>
  <c r="AO14" i="14"/>
  <c r="AL13" i="14"/>
  <c r="BD11" i="14"/>
  <c r="AR8" i="14"/>
  <c r="AV6" i="14"/>
  <c r="AL5" i="14"/>
  <c r="AP3" i="14"/>
  <c r="AM72" i="13"/>
  <c r="BE70" i="13"/>
  <c r="BB69" i="13"/>
  <c r="AY67" i="13"/>
  <c r="AV66" i="13"/>
  <c r="AS65" i="13"/>
  <c r="AP64" i="13"/>
  <c r="AM62" i="13"/>
  <c r="BE60" i="13"/>
  <c r="BB59" i="13"/>
  <c r="AY57" i="13"/>
  <c r="AV56" i="13"/>
  <c r="AS55" i="13"/>
  <c r="AP54" i="13"/>
  <c r="AM52" i="13"/>
  <c r="BE50" i="13"/>
  <c r="BB49" i="13"/>
  <c r="AY48" i="13"/>
  <c r="AU44" i="13"/>
  <c r="AR43" i="13"/>
  <c r="AO42" i="13"/>
  <c r="AL41" i="13"/>
  <c r="BD38" i="13"/>
  <c r="BA37" i="13"/>
  <c r="AX36" i="13"/>
  <c r="AU83" i="14"/>
  <c r="AT83" i="14"/>
  <c r="AS83" i="14"/>
  <c r="AP82" i="14"/>
  <c r="AM81" i="14"/>
  <c r="BE79" i="14"/>
  <c r="BB78" i="14"/>
  <c r="AY77" i="14"/>
  <c r="AV75" i="14"/>
  <c r="AS74" i="14"/>
  <c r="AP73" i="14"/>
  <c r="AM72" i="14"/>
  <c r="BE70" i="14"/>
  <c r="BB69" i="14"/>
  <c r="AY67" i="14"/>
  <c r="AV66" i="14"/>
  <c r="AS65" i="14"/>
  <c r="AP64" i="14"/>
  <c r="AM63" i="14"/>
  <c r="BE61" i="14"/>
  <c r="BB59" i="14"/>
  <c r="AY58" i="14"/>
  <c r="AV57" i="14"/>
  <c r="AS56" i="14"/>
  <c r="AP55" i="14"/>
  <c r="AM54" i="14"/>
  <c r="BE51" i="14"/>
  <c r="BB50" i="14"/>
  <c r="AY49" i="14"/>
  <c r="AV48" i="14"/>
  <c r="AS47" i="14"/>
  <c r="AP46" i="14"/>
  <c r="AM45" i="14"/>
  <c r="BD40" i="14"/>
  <c r="BA39" i="14"/>
  <c r="AX38" i="14"/>
  <c r="AU37" i="14"/>
  <c r="AR36" i="14"/>
  <c r="AO34" i="14"/>
  <c r="AL33" i="14"/>
  <c r="BD31" i="14"/>
  <c r="BA30" i="14"/>
  <c r="AX28" i="14"/>
  <c r="AU27" i="14"/>
  <c r="AR26" i="14"/>
  <c r="AO25" i="14"/>
  <c r="AL24" i="14"/>
  <c r="BD21" i="14"/>
  <c r="BA20" i="14"/>
  <c r="AX19" i="14"/>
  <c r="AU18" i="14"/>
  <c r="AR16" i="14"/>
  <c r="AO15" i="14"/>
  <c r="AL14" i="14"/>
  <c r="BD12" i="14"/>
  <c r="BA11" i="14"/>
  <c r="AO8" i="14"/>
  <c r="AS6" i="14"/>
  <c r="AW4" i="14"/>
  <c r="AM3" i="14"/>
  <c r="BE71" i="13"/>
  <c r="BB70" i="13"/>
  <c r="AY69" i="13"/>
  <c r="AV67" i="13"/>
  <c r="AS66" i="13"/>
  <c r="AP65" i="13"/>
  <c r="AM64" i="13"/>
  <c r="BE61" i="13"/>
  <c r="BB60" i="13"/>
  <c r="AY59" i="13"/>
  <c r="AV57" i="13"/>
  <c r="AS56" i="13"/>
  <c r="AP55" i="13"/>
  <c r="AM54" i="13"/>
  <c r="AR83" i="14"/>
  <c r="AO82" i="14"/>
  <c r="AL81" i="14"/>
  <c r="BD79" i="14"/>
  <c r="BA78" i="14"/>
  <c r="AX77" i="14"/>
  <c r="AU75" i="14"/>
  <c r="AR74" i="14"/>
  <c r="AO73" i="14"/>
  <c r="AL72" i="14"/>
  <c r="BD70" i="14"/>
  <c r="BA69" i="14"/>
  <c r="AX67" i="14"/>
  <c r="AU66" i="14"/>
  <c r="AR65" i="14"/>
  <c r="AO64" i="14"/>
  <c r="AL63" i="14"/>
  <c r="BD61" i="14"/>
  <c r="BA59" i="14"/>
  <c r="AX58" i="14"/>
  <c r="AU57" i="14"/>
  <c r="AR56" i="14"/>
  <c r="AO55" i="14"/>
  <c r="AL54" i="14"/>
  <c r="BD51" i="14"/>
  <c r="BA50" i="14"/>
  <c r="AX49" i="14"/>
  <c r="AU48" i="14"/>
  <c r="AR47" i="14"/>
  <c r="AO46" i="14"/>
  <c r="AL45" i="14"/>
  <c r="BC40" i="14"/>
  <c r="AZ39" i="14"/>
  <c r="AW38" i="14"/>
  <c r="AT37" i="14"/>
  <c r="AQ36" i="14"/>
  <c r="AN34" i="14"/>
  <c r="AK33" i="14"/>
  <c r="BC31" i="14"/>
  <c r="AZ30" i="14"/>
  <c r="AW28" i="14"/>
  <c r="AT27" i="14"/>
  <c r="AQ26" i="14"/>
  <c r="AN25" i="14"/>
  <c r="AK24" i="14"/>
  <c r="BC21" i="14"/>
  <c r="AZ20" i="14"/>
  <c r="AW19" i="14"/>
  <c r="AT18" i="14"/>
  <c r="AQ16" i="14"/>
  <c r="AN15" i="14"/>
  <c r="AK14" i="14"/>
  <c r="BC12" i="14"/>
  <c r="AZ11" i="14"/>
  <c r="AN8" i="14"/>
  <c r="AR6" i="14"/>
  <c r="AV4" i="14"/>
  <c r="AL3" i="14"/>
  <c r="BD71" i="13"/>
  <c r="BA70" i="13"/>
  <c r="AX69" i="13"/>
  <c r="AU67" i="13"/>
  <c r="AR66" i="13"/>
  <c r="AO65" i="13"/>
  <c r="AL64" i="13"/>
  <c r="BD61" i="13"/>
  <c r="BA60" i="13"/>
  <c r="AX59" i="13"/>
  <c r="AU57" i="13"/>
  <c r="AR56" i="13"/>
  <c r="AO55" i="13"/>
  <c r="AL54" i="13"/>
  <c r="BD51" i="13"/>
  <c r="BA50" i="13"/>
  <c r="AX49" i="13"/>
  <c r="AU48" i="13"/>
  <c r="AQ44" i="13"/>
  <c r="AN43" i="13"/>
  <c r="AK42" i="13"/>
  <c r="BC40" i="13"/>
  <c r="AZ38" i="13"/>
  <c r="AW37" i="13"/>
  <c r="AT36" i="13"/>
  <c r="AQ35" i="13"/>
  <c r="AN34" i="13"/>
  <c r="AK33" i="13"/>
  <c r="BC30" i="13"/>
  <c r="AZ29" i="13"/>
  <c r="AW28" i="13"/>
  <c r="AT27" i="13"/>
  <c r="AQ26" i="13"/>
  <c r="AN24" i="13"/>
  <c r="AK23" i="13"/>
  <c r="BC21" i="13"/>
  <c r="AZ20" i="13"/>
  <c r="AW19" i="13"/>
  <c r="AT17" i="13"/>
  <c r="AQ16" i="13"/>
  <c r="AN15" i="13"/>
  <c r="AK14" i="13"/>
  <c r="BC12" i="13"/>
  <c r="AZ11" i="13"/>
  <c r="AN8" i="13"/>
  <c r="AR6" i="13"/>
  <c r="AV4" i="13"/>
  <c r="AL3" i="13"/>
  <c r="AQ83" i="14"/>
  <c r="AN82" i="14"/>
  <c r="AK81" i="14"/>
  <c r="BC79" i="14"/>
  <c r="AZ78" i="14"/>
  <c r="AW77" i="14"/>
  <c r="AT75" i="14"/>
  <c r="AQ74" i="14"/>
  <c r="AN73" i="14"/>
  <c r="AK72" i="14"/>
  <c r="BC70" i="14"/>
  <c r="AZ69" i="14"/>
  <c r="AW67" i="14"/>
  <c r="AT66" i="14"/>
  <c r="AQ65" i="14"/>
  <c r="AN64" i="14"/>
  <c r="AK63" i="14"/>
  <c r="BC61" i="14"/>
  <c r="AZ59" i="14"/>
  <c r="AW58" i="14"/>
  <c r="AT57" i="14"/>
  <c r="AQ56" i="14"/>
  <c r="AN55" i="14"/>
  <c r="AK54" i="14"/>
  <c r="BC51" i="14"/>
  <c r="AZ50" i="14"/>
  <c r="AW49" i="14"/>
  <c r="AT48" i="14"/>
  <c r="AQ47" i="14"/>
  <c r="AN46" i="14"/>
  <c r="AK45" i="14"/>
  <c r="BB40" i="14"/>
  <c r="AY39" i="14"/>
  <c r="AV38" i="14"/>
  <c r="AS37" i="14"/>
  <c r="AP36" i="14"/>
  <c r="AM34" i="14"/>
  <c r="BE32" i="14"/>
  <c r="BB31" i="14"/>
  <c r="AY30" i="14"/>
  <c r="AV28" i="14"/>
  <c r="AS27" i="14"/>
  <c r="AP26" i="14"/>
  <c r="AM25" i="14"/>
  <c r="BE22" i="14"/>
  <c r="BB21" i="14"/>
  <c r="AY20" i="14"/>
  <c r="AV19" i="14"/>
  <c r="AS18" i="14"/>
  <c r="AP16" i="14"/>
  <c r="AM15" i="14"/>
  <c r="BE13" i="14"/>
  <c r="BB12" i="14"/>
  <c r="AY11" i="14"/>
  <c r="AM8" i="14"/>
  <c r="AQ6" i="14"/>
  <c r="AU4" i="14"/>
  <c r="AK3" i="14"/>
  <c r="BC71" i="13"/>
  <c r="AZ70" i="13"/>
  <c r="AW69" i="13"/>
  <c r="AT67" i="13"/>
  <c r="AQ66" i="13"/>
  <c r="AN65" i="13"/>
  <c r="AK64" i="13"/>
  <c r="BC61" i="13"/>
  <c r="AZ60" i="13"/>
  <c r="AW59" i="13"/>
  <c r="AT57" i="13"/>
  <c r="AQ56" i="13"/>
  <c r="AN55" i="13"/>
  <c r="AK54" i="13"/>
  <c r="BC51" i="13"/>
  <c r="AZ50" i="13"/>
  <c r="AW49" i="13"/>
  <c r="AT48" i="13"/>
  <c r="AP44" i="13"/>
  <c r="AM43" i="13"/>
  <c r="BE41" i="13"/>
  <c r="BB40" i="13"/>
  <c r="AY38" i="13"/>
  <c r="AV37" i="13"/>
  <c r="AS36" i="13"/>
  <c r="AP35" i="13"/>
  <c r="AM34" i="13"/>
  <c r="BE31" i="13"/>
  <c r="BB30" i="13"/>
  <c r="AY29" i="13"/>
  <c r="AV28" i="13"/>
  <c r="AS27" i="13"/>
  <c r="AP26" i="13"/>
  <c r="AM24" i="13"/>
  <c r="BE22" i="13"/>
  <c r="BB21" i="13"/>
  <c r="AP83" i="14"/>
  <c r="AM82" i="14"/>
  <c r="BE80" i="14"/>
  <c r="BB79" i="14"/>
  <c r="AY78" i="14"/>
  <c r="AV77" i="14"/>
  <c r="AS75" i="14"/>
  <c r="AP74" i="14"/>
  <c r="AM73" i="14"/>
  <c r="BE71" i="14"/>
  <c r="BB70" i="14"/>
  <c r="AY69" i="14"/>
  <c r="AV67" i="14"/>
  <c r="AS66" i="14"/>
  <c r="AP65" i="14"/>
  <c r="AM64" i="14"/>
  <c r="BE62" i="14"/>
  <c r="BB61" i="14"/>
  <c r="AY59" i="14"/>
  <c r="AV58" i="14"/>
  <c r="AS57" i="14"/>
  <c r="AP56" i="14"/>
  <c r="AM55" i="14"/>
  <c r="BE53" i="14"/>
  <c r="BB51" i="14"/>
  <c r="AY50" i="14"/>
  <c r="AV49" i="14"/>
  <c r="AS48" i="14"/>
  <c r="AP47" i="14"/>
  <c r="AM46" i="14"/>
  <c r="BE44" i="14"/>
  <c r="BA40" i="14"/>
  <c r="AX39" i="14"/>
  <c r="AU38" i="14"/>
  <c r="AR37" i="14"/>
  <c r="AO36" i="14"/>
  <c r="AL34" i="14"/>
  <c r="BD32" i="14"/>
  <c r="BA31" i="14"/>
  <c r="AX30" i="14"/>
  <c r="AU28" i="14"/>
  <c r="AR27" i="14"/>
  <c r="AO26" i="14"/>
  <c r="AO83" i="14"/>
  <c r="AL82" i="14"/>
  <c r="BD80" i="14"/>
  <c r="BA79" i="14"/>
  <c r="AX78" i="14"/>
  <c r="AU77" i="14"/>
  <c r="AR75" i="14"/>
  <c r="AO74" i="14"/>
  <c r="AL73" i="14"/>
  <c r="BD71" i="14"/>
  <c r="BA70" i="14"/>
  <c r="AX69" i="14"/>
  <c r="AU67" i="14"/>
  <c r="AR66" i="14"/>
  <c r="AO65" i="14"/>
  <c r="AL64" i="14"/>
  <c r="BD62" i="14"/>
  <c r="BA61" i="14"/>
  <c r="AX59" i="14"/>
  <c r="AU58" i="14"/>
  <c r="AR57" i="14"/>
  <c r="AO56" i="14"/>
  <c r="AL55" i="14"/>
  <c r="BD53" i="14"/>
  <c r="BA51" i="14"/>
  <c r="AX50" i="14"/>
  <c r="AU49" i="14"/>
  <c r="AR48" i="14"/>
  <c r="AO47" i="14"/>
  <c r="AL46" i="14"/>
  <c r="BD44" i="14"/>
  <c r="AZ40" i="14"/>
  <c r="AW39" i="14"/>
  <c r="AT38" i="14"/>
  <c r="AQ37" i="14"/>
  <c r="AN36" i="14"/>
  <c r="AK34" i="14"/>
  <c r="BC32" i="14"/>
  <c r="AZ31" i="14"/>
  <c r="AW30" i="14"/>
  <c r="AT28" i="14"/>
  <c r="AN83" i="14"/>
  <c r="AM83" i="14"/>
  <c r="AL83" i="14"/>
  <c r="BD81" i="14"/>
  <c r="BA80" i="14"/>
  <c r="AX79" i="14"/>
  <c r="AU78" i="14"/>
  <c r="AR77" i="14"/>
  <c r="AO75" i="14"/>
  <c r="AL74" i="14"/>
  <c r="BD72" i="14"/>
  <c r="BA71" i="14"/>
  <c r="AX70" i="14"/>
  <c r="AU69" i="14"/>
  <c r="AR67" i="14"/>
  <c r="AO66" i="14"/>
  <c r="AL65" i="14"/>
  <c r="BD63" i="14"/>
  <c r="BA62" i="14"/>
  <c r="AX61" i="14"/>
  <c r="AU59" i="14"/>
  <c r="AR58" i="14"/>
  <c r="AO57" i="14"/>
  <c r="AL56" i="14"/>
  <c r="BD54" i="14"/>
  <c r="AK83" i="14"/>
  <c r="BC81" i="14"/>
  <c r="AZ80" i="14"/>
  <c r="AW79" i="14"/>
  <c r="AT78" i="14"/>
  <c r="AQ77" i="14"/>
  <c r="AN75" i="14"/>
  <c r="AK74" i="14"/>
  <c r="BC72" i="14"/>
  <c r="AZ71" i="14"/>
  <c r="AW70" i="14"/>
  <c r="AT69" i="14"/>
  <c r="AQ67" i="14"/>
  <c r="AN66" i="14"/>
  <c r="AK65" i="14"/>
  <c r="BC63" i="14"/>
  <c r="AZ62" i="14"/>
  <c r="AW61" i="14"/>
  <c r="AT59" i="14"/>
  <c r="AQ58" i="14"/>
  <c r="AN57" i="14"/>
  <c r="AK56" i="14"/>
  <c r="BC54" i="14"/>
  <c r="AZ53" i="14"/>
  <c r="AW51" i="14"/>
  <c r="AT50" i="14"/>
  <c r="AQ49" i="14"/>
  <c r="AN48" i="14"/>
  <c r="AK47" i="14"/>
  <c r="BC45" i="14"/>
  <c r="AZ44" i="14"/>
  <c r="AV40" i="14"/>
  <c r="AS39" i="14"/>
  <c r="AP38" i="14"/>
  <c r="AM37" i="14"/>
  <c r="BE34" i="14"/>
  <c r="BB33" i="14"/>
  <c r="AY32" i="14"/>
  <c r="AV31" i="14"/>
  <c r="AS30" i="14"/>
  <c r="AP28" i="14"/>
  <c r="AM27" i="14"/>
  <c r="BE25" i="14"/>
  <c r="BB24" i="14"/>
  <c r="AY22" i="14"/>
  <c r="AV21" i="14"/>
  <c r="AS20" i="14"/>
  <c r="AP19" i="14"/>
  <c r="AM18" i="14"/>
  <c r="BE15" i="14"/>
  <c r="BB14" i="14"/>
  <c r="AY13" i="14"/>
  <c r="AV12" i="14"/>
  <c r="AS11" i="14"/>
  <c r="AU7" i="14"/>
  <c r="AK6" i="14"/>
  <c r="AO4" i="14"/>
  <c r="AZ72" i="13"/>
  <c r="BE82" i="14"/>
  <c r="BD82" i="14"/>
  <c r="BC82" i="14"/>
  <c r="AR82" i="14"/>
  <c r="AV78" i="14"/>
  <c r="BC73" i="14"/>
  <c r="AW69" i="14"/>
  <c r="BD64" i="14"/>
  <c r="BC59" i="14"/>
  <c r="BE55" i="14"/>
  <c r="AU51" i="14"/>
  <c r="AL48" i="14"/>
  <c r="AX44" i="14"/>
  <c r="AN38" i="14"/>
  <c r="AZ33" i="14"/>
  <c r="AQ30" i="14"/>
  <c r="AK26" i="14"/>
  <c r="AK22" i="14"/>
  <c r="AS19" i="14"/>
  <c r="BC15" i="14"/>
  <c r="BA12" i="14"/>
  <c r="AV7" i="14"/>
  <c r="AO3" i="14"/>
  <c r="AX70" i="13"/>
  <c r="AP67" i="13"/>
  <c r="BC64" i="13"/>
  <c r="AU61" i="13"/>
  <c r="AX57" i="13"/>
  <c r="AM55" i="13"/>
  <c r="BA51" i="13"/>
  <c r="AU49" i="13"/>
  <c r="AN44" i="13"/>
  <c r="AL42" i="13"/>
  <c r="BC38" i="13"/>
  <c r="AN37" i="13"/>
  <c r="AO35" i="13"/>
  <c r="AY33" i="13"/>
  <c r="BA30" i="13"/>
  <c r="AP29" i="13"/>
  <c r="AR27" i="13"/>
  <c r="BB24" i="13"/>
  <c r="BD22" i="13"/>
  <c r="AS21" i="13"/>
  <c r="BC19" i="13"/>
  <c r="AV17" i="13"/>
  <c r="AN16" i="13"/>
  <c r="BB14" i="13"/>
  <c r="AU13" i="13"/>
  <c r="AK12" i="13"/>
  <c r="AP8" i="13"/>
  <c r="AO6" i="13"/>
  <c r="AO4" i="13"/>
  <c r="AO23" i="12"/>
  <c r="AM21" i="12"/>
  <c r="AN19" i="12"/>
  <c r="AO17" i="12"/>
  <c r="AP15" i="12"/>
  <c r="AQ13" i="12"/>
  <c r="AR11" i="12"/>
  <c r="AS9" i="12"/>
  <c r="AQ7" i="12"/>
  <c r="AR5" i="12"/>
  <c r="AS3" i="12"/>
  <c r="AR7" i="11"/>
  <c r="AT5" i="11"/>
  <c r="AV3" i="11"/>
  <c r="AQ195" i="10"/>
  <c r="AL194" i="10"/>
  <c r="BB192" i="10"/>
  <c r="AU191" i="10"/>
  <c r="AQ190" i="10"/>
  <c r="AN189" i="10"/>
  <c r="AK188" i="10"/>
  <c r="BC186" i="10"/>
  <c r="AZ185" i="10"/>
  <c r="AW184" i="10"/>
  <c r="AT183" i="10"/>
  <c r="AQ182" i="10"/>
  <c r="AN181" i="10"/>
  <c r="AK180" i="10"/>
  <c r="BC177" i="10"/>
  <c r="AZ176" i="10"/>
  <c r="AW175" i="10"/>
  <c r="AT174" i="10"/>
  <c r="AQ173" i="10"/>
  <c r="AN172" i="10"/>
  <c r="AK171" i="10"/>
  <c r="BC169" i="10"/>
  <c r="AZ168" i="10"/>
  <c r="AW167" i="10"/>
  <c r="AT166" i="10"/>
  <c r="AQ165" i="10"/>
  <c r="AN164" i="10"/>
  <c r="AK163" i="10"/>
  <c r="BC161" i="10"/>
  <c r="AZ160" i="10"/>
  <c r="AW158" i="10"/>
  <c r="AT157" i="10"/>
  <c r="AQ156" i="10"/>
  <c r="AN155" i="10"/>
  <c r="AK154" i="10"/>
  <c r="BC152" i="10"/>
  <c r="AZ151" i="10"/>
  <c r="AW150" i="10"/>
  <c r="AT149" i="10"/>
  <c r="AQ148" i="10"/>
  <c r="AN147" i="10"/>
  <c r="AK146" i="10"/>
  <c r="BC144" i="10"/>
  <c r="AZ143" i="10"/>
  <c r="AW142" i="10"/>
  <c r="AT141" i="10"/>
  <c r="AQ139" i="10"/>
  <c r="AN138" i="10"/>
  <c r="AK137" i="10"/>
  <c r="BC135" i="10"/>
  <c r="AZ134" i="10"/>
  <c r="AW133" i="10"/>
  <c r="AT132" i="10"/>
  <c r="AQ131" i="10"/>
  <c r="AN130" i="10"/>
  <c r="AK129" i="10"/>
  <c r="BC127" i="10"/>
  <c r="AZ126" i="10"/>
  <c r="AW125" i="10"/>
  <c r="AT124" i="10"/>
  <c r="AQ123" i="10"/>
  <c r="AN122" i="10"/>
  <c r="AK120" i="10"/>
  <c r="BC118" i="10"/>
  <c r="AQ82" i="14"/>
  <c r="AS78" i="14"/>
  <c r="AR73" i="14"/>
  <c r="AV69" i="14"/>
  <c r="BC64" i="14"/>
  <c r="AW59" i="14"/>
  <c r="BD55" i="14"/>
  <c r="AT51" i="14"/>
  <c r="AK48" i="14"/>
  <c r="AW44" i="14"/>
  <c r="AM38" i="14"/>
  <c r="AY33" i="14"/>
  <c r="AP30" i="14"/>
  <c r="BD25" i="14"/>
  <c r="BE21" i="14"/>
  <c r="AR19" i="14"/>
  <c r="BB15" i="14"/>
  <c r="AZ12" i="14"/>
  <c r="AT7" i="14"/>
  <c r="AN3" i="14"/>
  <c r="AW70" i="13"/>
  <c r="AO67" i="13"/>
  <c r="BB64" i="13"/>
  <c r="AT61" i="13"/>
  <c r="AW57" i="13"/>
  <c r="AL55" i="13"/>
  <c r="AZ51" i="13"/>
  <c r="AT49" i="13"/>
  <c r="AM44" i="13"/>
  <c r="BD41" i="13"/>
  <c r="BB38" i="13"/>
  <c r="AM37" i="13"/>
  <c r="AN35" i="13"/>
  <c r="AU33" i="13"/>
  <c r="AZ30" i="13"/>
  <c r="AL29" i="13"/>
  <c r="AQ27" i="13"/>
  <c r="AX24" i="13"/>
  <c r="BC22" i="13"/>
  <c r="AR21" i="13"/>
  <c r="BB19" i="13"/>
  <c r="AU17" i="13"/>
  <c r="AM16" i="13"/>
  <c r="BA14" i="13"/>
  <c r="AT13" i="13"/>
  <c r="BE11" i="13"/>
  <c r="AO8" i="13"/>
  <c r="AN6" i="13"/>
  <c r="AN4" i="13"/>
  <c r="AN23" i="12"/>
  <c r="AL21" i="12"/>
  <c r="AM19" i="12"/>
  <c r="AN17" i="12"/>
  <c r="AO15" i="12"/>
  <c r="AP13" i="12"/>
  <c r="AQ11" i="12"/>
  <c r="AR9" i="12"/>
  <c r="AP7" i="12"/>
  <c r="AQ5" i="12"/>
  <c r="AR3" i="12"/>
  <c r="AQ7" i="11"/>
  <c r="AS5" i="11"/>
  <c r="AU3" i="11"/>
  <c r="AP195" i="10"/>
  <c r="AK194" i="10"/>
  <c r="AZ192" i="10"/>
  <c r="AT191" i="10"/>
  <c r="AP190" i="10"/>
  <c r="AM189" i="10"/>
  <c r="BE187" i="10"/>
  <c r="BB186" i="10"/>
  <c r="AY185" i="10"/>
  <c r="AV184" i="10"/>
  <c r="AS183" i="10"/>
  <c r="AP182" i="10"/>
  <c r="AM181" i="10"/>
  <c r="BE179" i="10"/>
  <c r="BB177" i="10"/>
  <c r="AY176" i="10"/>
  <c r="AV175" i="10"/>
  <c r="AS174" i="10"/>
  <c r="AP173" i="10"/>
  <c r="AM172" i="10"/>
  <c r="BE170" i="10"/>
  <c r="BB169" i="10"/>
  <c r="AY168" i="10"/>
  <c r="AV167" i="10"/>
  <c r="AS166" i="10"/>
  <c r="AP165" i="10"/>
  <c r="AM164" i="10"/>
  <c r="BE162" i="10"/>
  <c r="BB161" i="10"/>
  <c r="AY160" i="10"/>
  <c r="AV158" i="10"/>
  <c r="AS157" i="10"/>
  <c r="AP156" i="10"/>
  <c r="AM155" i="10"/>
  <c r="BE153" i="10"/>
  <c r="BB152" i="10"/>
  <c r="AY151" i="10"/>
  <c r="AV150" i="10"/>
  <c r="AS149" i="10"/>
  <c r="AP148" i="10"/>
  <c r="AM147" i="10"/>
  <c r="BE145" i="10"/>
  <c r="BB144" i="10"/>
  <c r="AY143" i="10"/>
  <c r="AV142" i="10"/>
  <c r="AS141" i="10"/>
  <c r="AP139" i="10"/>
  <c r="AM138" i="10"/>
  <c r="BE136" i="10"/>
  <c r="BB135" i="10"/>
  <c r="AY134" i="10"/>
  <c r="AV133" i="10"/>
  <c r="AS132" i="10"/>
  <c r="AP131" i="10"/>
  <c r="AM130" i="10"/>
  <c r="BE128" i="10"/>
  <c r="BB127" i="10"/>
  <c r="AY126" i="10"/>
  <c r="AV125" i="10"/>
  <c r="AS124" i="10"/>
  <c r="AP123" i="10"/>
  <c r="AM122" i="10"/>
  <c r="BE119" i="10"/>
  <c r="BB118" i="10"/>
  <c r="AK82" i="14"/>
  <c r="AR78" i="14"/>
  <c r="AQ73" i="14"/>
  <c r="AS69" i="14"/>
  <c r="AR64" i="14"/>
  <c r="AV59" i="14"/>
  <c r="BC55" i="14"/>
  <c r="BD50" i="14"/>
  <c r="AU47" i="14"/>
  <c r="AL44" i="14"/>
  <c r="AW37" i="14"/>
  <c r="AN33" i="14"/>
  <c r="AZ28" i="14"/>
  <c r="BC25" i="14"/>
  <c r="BA21" i="14"/>
  <c r="AQ19" i="14"/>
  <c r="AQ15" i="14"/>
  <c r="AY12" i="14"/>
  <c r="AS7" i="14"/>
  <c r="BE72" i="13"/>
  <c r="AV70" i="13"/>
  <c r="AN67" i="13"/>
  <c r="BA64" i="13"/>
  <c r="BD60" i="13"/>
  <c r="AS57" i="13"/>
  <c r="AK55" i="13"/>
  <c r="AY51" i="13"/>
  <c r="AS49" i="13"/>
  <c r="AL44" i="13"/>
  <c r="BC41" i="13"/>
  <c r="BA38" i="13"/>
  <c r="BD36" i="13"/>
  <c r="AM35" i="13"/>
  <c r="AR33" i="13"/>
  <c r="AY30" i="13"/>
  <c r="BD28" i="13"/>
  <c r="AP27" i="13"/>
  <c r="AU24" i="13"/>
  <c r="BB22" i="13"/>
  <c r="AO21" i="13"/>
  <c r="BA19" i="13"/>
  <c r="AS17" i="13"/>
  <c r="AL16" i="13"/>
  <c r="AZ14" i="13"/>
  <c r="AR13" i="13"/>
  <c r="BD11" i="13"/>
  <c r="AM8" i="13"/>
  <c r="AM6" i="13"/>
  <c r="AM4" i="13"/>
  <c r="AL23" i="12"/>
  <c r="AK21" i="12"/>
  <c r="AL19" i="12"/>
  <c r="AM17" i="12"/>
  <c r="AN15" i="12"/>
  <c r="AO13" i="12"/>
  <c r="AP11" i="12"/>
  <c r="AP9" i="12"/>
  <c r="AO7" i="12"/>
  <c r="AP5" i="12"/>
  <c r="AQ3" i="12"/>
  <c r="AP7" i="11"/>
  <c r="AR5" i="11"/>
  <c r="AT3" i="11"/>
  <c r="AO195" i="10"/>
  <c r="BE193" i="10"/>
  <c r="AX192" i="10"/>
  <c r="AS191" i="10"/>
  <c r="AO190" i="10"/>
  <c r="AL189" i="10"/>
  <c r="BD187" i="10"/>
  <c r="BA186" i="10"/>
  <c r="AX185" i="10"/>
  <c r="AU184" i="10"/>
  <c r="AR183" i="10"/>
  <c r="AO182" i="10"/>
  <c r="AL181" i="10"/>
  <c r="BD179" i="10"/>
  <c r="BA177" i="10"/>
  <c r="AX176" i="10"/>
  <c r="AU175" i="10"/>
  <c r="AR174" i="10"/>
  <c r="AO173" i="10"/>
  <c r="AL172" i="10"/>
  <c r="BD170" i="10"/>
  <c r="BA169" i="10"/>
  <c r="AX168" i="10"/>
  <c r="AU167" i="10"/>
  <c r="AR166" i="10"/>
  <c r="AO165" i="10"/>
  <c r="AL164" i="10"/>
  <c r="BD162" i="10"/>
  <c r="BA161" i="10"/>
  <c r="AX160" i="10"/>
  <c r="AU158" i="10"/>
  <c r="AR157" i="10"/>
  <c r="AO156" i="10"/>
  <c r="AL155" i="10"/>
  <c r="BD153" i="10"/>
  <c r="BA152" i="10"/>
  <c r="AX151" i="10"/>
  <c r="AU150" i="10"/>
  <c r="AR149" i="10"/>
  <c r="AO148" i="10"/>
  <c r="AL147" i="10"/>
  <c r="BD145" i="10"/>
  <c r="BA144" i="10"/>
  <c r="AX143" i="10"/>
  <c r="AU142" i="10"/>
  <c r="AR141" i="10"/>
  <c r="AO139" i="10"/>
  <c r="AL138" i="10"/>
  <c r="BD136" i="10"/>
  <c r="BA135" i="10"/>
  <c r="AX134" i="10"/>
  <c r="AU133" i="10"/>
  <c r="AR132" i="10"/>
  <c r="AO131" i="10"/>
  <c r="AL130" i="10"/>
  <c r="BD128" i="10"/>
  <c r="BA127" i="10"/>
  <c r="AX126" i="10"/>
  <c r="AU125" i="10"/>
  <c r="AR124" i="10"/>
  <c r="AO123" i="10"/>
  <c r="AL122" i="10"/>
  <c r="BD119" i="10"/>
  <c r="BA118" i="10"/>
  <c r="BE81" i="14"/>
  <c r="AQ78" i="14"/>
  <c r="AK73" i="14"/>
  <c r="AR69" i="14"/>
  <c r="AQ64" i="14"/>
  <c r="AS59" i="14"/>
  <c r="AR55" i="14"/>
  <c r="BC50" i="14"/>
  <c r="AT47" i="14"/>
  <c r="BE40" i="14"/>
  <c r="AV37" i="14"/>
  <c r="AM33" i="14"/>
  <c r="AY28" i="14"/>
  <c r="BB25" i="14"/>
  <c r="AZ21" i="14"/>
  <c r="AO19" i="14"/>
  <c r="AP15" i="14"/>
  <c r="AX12" i="14"/>
  <c r="AR7" i="14"/>
  <c r="BD72" i="13"/>
  <c r="AU70" i="13"/>
  <c r="AM67" i="13"/>
  <c r="AZ64" i="13"/>
  <c r="BC60" i="13"/>
  <c r="AR57" i="13"/>
  <c r="BE54" i="13"/>
  <c r="AX51" i="13"/>
  <c r="AR49" i="13"/>
  <c r="AK44" i="13"/>
  <c r="BB41" i="13"/>
  <c r="AX38" i="13"/>
  <c r="BA36" i="13"/>
  <c r="AL35" i="13"/>
  <c r="AP33" i="13"/>
  <c r="AX30" i="13"/>
  <c r="BB28" i="13"/>
  <c r="AO27" i="13"/>
  <c r="AS24" i="13"/>
  <c r="BA22" i="13"/>
  <c r="AL21" i="13"/>
  <c r="AZ19" i="13"/>
  <c r="AR17" i="13"/>
  <c r="AK16" i="13"/>
  <c r="AY14" i="13"/>
  <c r="AO13" i="13"/>
  <c r="BC11" i="13"/>
  <c r="AL8" i="13"/>
  <c r="AL6" i="13"/>
  <c r="AL4" i="13"/>
  <c r="AW22" i="12"/>
  <c r="AX20" i="12"/>
  <c r="AK19" i="12"/>
  <c r="AL17" i="12"/>
  <c r="AM15" i="12"/>
  <c r="AN13" i="12"/>
  <c r="AO11" i="12"/>
  <c r="AM9" i="12"/>
  <c r="AN7" i="12"/>
  <c r="AO5" i="12"/>
  <c r="AP3" i="12"/>
  <c r="AO7" i="11"/>
  <c r="AQ5" i="11"/>
  <c r="AS3" i="11"/>
  <c r="AN195" i="10"/>
  <c r="BC193" i="10"/>
  <c r="AW192" i="10"/>
  <c r="AR191" i="10"/>
  <c r="AN190" i="10"/>
  <c r="AK189" i="10"/>
  <c r="BC187" i="10"/>
  <c r="AZ186" i="10"/>
  <c r="AW185" i="10"/>
  <c r="AT184" i="10"/>
  <c r="AQ183" i="10"/>
  <c r="AN182" i="10"/>
  <c r="AK181" i="10"/>
  <c r="BC179" i="10"/>
  <c r="AZ177" i="10"/>
  <c r="AW176" i="10"/>
  <c r="AT175" i="10"/>
  <c r="AQ174" i="10"/>
  <c r="AN173" i="10"/>
  <c r="AK172" i="10"/>
  <c r="BC170" i="10"/>
  <c r="AZ169" i="10"/>
  <c r="AW168" i="10"/>
  <c r="AT167" i="10"/>
  <c r="AQ166" i="10"/>
  <c r="AN165" i="10"/>
  <c r="AK164" i="10"/>
  <c r="BB81" i="14"/>
  <c r="BA77" i="14"/>
  <c r="BE72" i="14"/>
  <c r="AQ69" i="14"/>
  <c r="AK64" i="14"/>
  <c r="AR59" i="14"/>
  <c r="AQ55" i="14"/>
  <c r="AW50" i="14"/>
  <c r="AN47" i="14"/>
  <c r="AY40" i="14"/>
  <c r="AP37" i="14"/>
  <c r="BB32" i="14"/>
  <c r="AS28" i="14"/>
  <c r="AQ25" i="14"/>
  <c r="AY21" i="14"/>
  <c r="AN19" i="14"/>
  <c r="AL15" i="14"/>
  <c r="AW12" i="14"/>
  <c r="AU6" i="14"/>
  <c r="BC72" i="13"/>
  <c r="AT70" i="13"/>
  <c r="AL67" i="13"/>
  <c r="AO64" i="13"/>
  <c r="AY60" i="13"/>
  <c r="AQ57" i="13"/>
  <c r="BD54" i="13"/>
  <c r="AW51" i="13"/>
  <c r="AQ49" i="13"/>
  <c r="BE43" i="13"/>
  <c r="BA41" i="13"/>
  <c r="AW38" i="13"/>
  <c r="AY36" i="13"/>
  <c r="AK35" i="13"/>
  <c r="AO33" i="13"/>
  <c r="AW30" i="13"/>
  <c r="BA28" i="13"/>
  <c r="AN27" i="13"/>
  <c r="AR24" i="13"/>
  <c r="AZ22" i="13"/>
  <c r="AK21" i="13"/>
  <c r="AY19" i="13"/>
  <c r="AQ17" i="13"/>
  <c r="BE15" i="13"/>
  <c r="AX14" i="13"/>
  <c r="AN13" i="13"/>
  <c r="BB11" i="13"/>
  <c r="AK8" i="13"/>
  <c r="AK6" i="13"/>
  <c r="AK4" i="13"/>
  <c r="AV22" i="12"/>
  <c r="AW20" i="12"/>
  <c r="AX18" i="12"/>
  <c r="AK17" i="12"/>
  <c r="AL15" i="12"/>
  <c r="AM13" i="12"/>
  <c r="AN11" i="12"/>
  <c r="AL9" i="12"/>
  <c r="AM7" i="12"/>
  <c r="AN5" i="12"/>
  <c r="AO3" i="12"/>
  <c r="AN7" i="11"/>
  <c r="AP5" i="11"/>
  <c r="AR3" i="11"/>
  <c r="AM195" i="10"/>
  <c r="BA193" i="10"/>
  <c r="AV192" i="10"/>
  <c r="AQ191" i="10"/>
  <c r="AM190" i="10"/>
  <c r="BE188" i="10"/>
  <c r="BB187" i="10"/>
  <c r="AY186" i="10"/>
  <c r="AV185" i="10"/>
  <c r="AS184" i="10"/>
  <c r="AP183" i="10"/>
  <c r="AM182" i="10"/>
  <c r="BE180" i="10"/>
  <c r="BB179" i="10"/>
  <c r="AY177" i="10"/>
  <c r="AV176" i="10"/>
  <c r="AS175" i="10"/>
  <c r="AP174" i="10"/>
  <c r="AM173" i="10"/>
  <c r="BE171" i="10"/>
  <c r="BB170" i="10"/>
  <c r="AY169" i="10"/>
  <c r="AV168" i="10"/>
  <c r="AS167" i="10"/>
  <c r="AP166" i="10"/>
  <c r="AM165" i="10"/>
  <c r="BE163" i="10"/>
  <c r="BB162" i="10"/>
  <c r="AY161" i="10"/>
  <c r="AV160" i="10"/>
  <c r="AS158" i="10"/>
  <c r="AP157" i="10"/>
  <c r="AM156" i="10"/>
  <c r="BE154" i="10"/>
  <c r="BB153" i="10"/>
  <c r="AY152" i="10"/>
  <c r="AV151" i="10"/>
  <c r="AS150" i="10"/>
  <c r="AP149" i="10"/>
  <c r="AM148" i="10"/>
  <c r="BE146" i="10"/>
  <c r="BB145" i="10"/>
  <c r="AY144" i="10"/>
  <c r="AV143" i="10"/>
  <c r="AS142" i="10"/>
  <c r="AP141" i="10"/>
  <c r="AM139" i="10"/>
  <c r="BE137" i="10"/>
  <c r="BB136" i="10"/>
  <c r="AY135" i="10"/>
  <c r="AV134" i="10"/>
  <c r="AS133" i="10"/>
  <c r="AP132" i="10"/>
  <c r="AM131" i="10"/>
  <c r="BE129" i="10"/>
  <c r="BA81" i="14"/>
  <c r="AZ77" i="14"/>
  <c r="BB72" i="14"/>
  <c r="BA67" i="14"/>
  <c r="BE63" i="14"/>
  <c r="AQ59" i="14"/>
  <c r="AK55" i="14"/>
  <c r="AV50" i="14"/>
  <c r="AM47" i="14"/>
  <c r="AX40" i="14"/>
  <c r="AO37" i="14"/>
  <c r="BA32" i="14"/>
  <c r="AR28" i="14"/>
  <c r="AP25" i="14"/>
  <c r="AX21" i="14"/>
  <c r="AM19" i="14"/>
  <c r="AK15" i="14"/>
  <c r="AU12" i="14"/>
  <c r="AT6" i="14"/>
  <c r="BB72" i="13"/>
  <c r="AS70" i="13"/>
  <c r="AK67" i="13"/>
  <c r="AN64" i="13"/>
  <c r="AX60" i="13"/>
  <c r="AP57" i="13"/>
  <c r="BC54" i="13"/>
  <c r="AV51" i="13"/>
  <c r="AP49" i="13"/>
  <c r="BD43" i="13"/>
  <c r="AZ41" i="13"/>
  <c r="AV38" i="13"/>
  <c r="AW36" i="13"/>
  <c r="BE34" i="13"/>
  <c r="AN33" i="13"/>
  <c r="AV30" i="13"/>
  <c r="AZ28" i="13"/>
  <c r="AM27" i="13"/>
  <c r="AQ24" i="13"/>
  <c r="AY22" i="13"/>
  <c r="BE20" i="13"/>
  <c r="AX19" i="13"/>
  <c r="AP17" i="13"/>
  <c r="BD15" i="13"/>
  <c r="AW14" i="13"/>
  <c r="AM13" i="13"/>
  <c r="BA11" i="13"/>
  <c r="AJ8" i="13"/>
  <c r="AJ6" i="13"/>
  <c r="AJ4" i="13"/>
  <c r="AU22" i="12"/>
  <c r="AV20" i="12"/>
  <c r="AW18" i="12"/>
  <c r="AX16" i="12"/>
  <c r="AK15" i="12"/>
  <c r="AL13" i="12"/>
  <c r="AL11" i="12"/>
  <c r="AK9" i="12"/>
  <c r="AL7" i="12"/>
  <c r="AM5" i="12"/>
  <c r="AN3" i="12"/>
  <c r="AM7" i="11"/>
  <c r="AO5" i="11"/>
  <c r="AQ3" i="11"/>
  <c r="AK195" i="10"/>
  <c r="AZ193" i="10"/>
  <c r="AU192" i="10"/>
  <c r="AP191" i="10"/>
  <c r="AL190" i="10"/>
  <c r="BD188" i="10"/>
  <c r="BA187" i="10"/>
  <c r="AX186" i="10"/>
  <c r="AU185" i="10"/>
  <c r="AR184" i="10"/>
  <c r="AO183" i="10"/>
  <c r="AL182" i="10"/>
  <c r="BD180" i="10"/>
  <c r="BA179" i="10"/>
  <c r="AX177" i="10"/>
  <c r="AU176" i="10"/>
  <c r="AR175" i="10"/>
  <c r="AO174" i="10"/>
  <c r="AL173" i="10"/>
  <c r="BD171" i="10"/>
  <c r="BA170" i="10"/>
  <c r="AX169" i="10"/>
  <c r="AU168" i="10"/>
  <c r="AR167" i="10"/>
  <c r="AO166" i="10"/>
  <c r="AL165" i="10"/>
  <c r="BD163" i="10"/>
  <c r="BA162" i="10"/>
  <c r="AX161" i="10"/>
  <c r="AU160" i="10"/>
  <c r="AR158" i="10"/>
  <c r="AO157" i="10"/>
  <c r="AL156" i="10"/>
  <c r="BD154" i="10"/>
  <c r="BA153" i="10"/>
  <c r="AX152" i="10"/>
  <c r="AU151" i="10"/>
  <c r="AR150" i="10"/>
  <c r="AO149" i="10"/>
  <c r="AL148" i="10"/>
  <c r="BD146" i="10"/>
  <c r="BA145" i="10"/>
  <c r="AX144" i="10"/>
  <c r="AU143" i="10"/>
  <c r="AR142" i="10"/>
  <c r="AO141" i="10"/>
  <c r="AL139" i="10"/>
  <c r="BD137" i="10"/>
  <c r="BA136" i="10"/>
  <c r="AX135" i="10"/>
  <c r="AU134" i="10"/>
  <c r="AR133" i="10"/>
  <c r="AO132" i="10"/>
  <c r="AL131" i="10"/>
  <c r="BD129" i="10"/>
  <c r="BA128" i="10"/>
  <c r="AX127" i="10"/>
  <c r="AU126" i="10"/>
  <c r="AR125" i="10"/>
  <c r="AO124" i="10"/>
  <c r="AL123" i="10"/>
  <c r="BD120" i="10"/>
  <c r="BA119" i="10"/>
  <c r="AZ81" i="14"/>
  <c r="AT77" i="14"/>
  <c r="BA72" i="14"/>
  <c r="AZ67" i="14"/>
  <c r="BB63" i="14"/>
  <c r="BA58" i="14"/>
  <c r="BE54" i="14"/>
  <c r="AU50" i="14"/>
  <c r="AL47" i="14"/>
  <c r="AW40" i="14"/>
  <c r="AN37" i="14"/>
  <c r="AZ32" i="14"/>
  <c r="AQ28" i="14"/>
  <c r="AL25" i="14"/>
  <c r="AW21" i="14"/>
  <c r="AW18" i="14"/>
  <c r="BE14" i="14"/>
  <c r="AT12" i="14"/>
  <c r="AP6" i="14"/>
  <c r="BA72" i="13"/>
  <c r="AR70" i="13"/>
  <c r="AU66" i="13"/>
  <c r="BE62" i="13"/>
  <c r="AW60" i="13"/>
  <c r="AO57" i="13"/>
  <c r="BB54" i="13"/>
  <c r="AU51" i="13"/>
  <c r="AO49" i="13"/>
  <c r="BC43" i="13"/>
  <c r="AY41" i="13"/>
  <c r="AU38" i="13"/>
  <c r="AV36" i="13"/>
  <c r="BD34" i="13"/>
  <c r="AM33" i="13"/>
  <c r="AU30" i="13"/>
  <c r="AY28" i="13"/>
  <c r="AL27" i="13"/>
  <c r="AP24" i="13"/>
  <c r="AX22" i="13"/>
  <c r="BD20" i="13"/>
  <c r="AV19" i="13"/>
  <c r="AO17" i="13"/>
  <c r="BC15" i="13"/>
  <c r="AU14" i="13"/>
  <c r="AL13" i="13"/>
  <c r="AY11" i="13"/>
  <c r="AW7" i="13"/>
  <c r="AW5" i="13"/>
  <c r="AV3" i="13"/>
  <c r="AT22" i="12"/>
  <c r="AU20" i="12"/>
  <c r="AV18" i="12"/>
  <c r="AW16" i="12"/>
  <c r="AX14" i="12"/>
  <c r="AK13" i="12"/>
  <c r="AW10" i="12"/>
  <c r="AX8" i="12"/>
  <c r="AK7" i="12"/>
  <c r="AL5" i="12"/>
  <c r="AM3" i="12"/>
  <c r="AL7" i="11"/>
  <c r="AN5" i="11"/>
  <c r="AP3" i="11"/>
  <c r="BD194" i="10"/>
  <c r="AY193" i="10"/>
  <c r="AT192" i="10"/>
  <c r="AO191" i="10"/>
  <c r="AK190" i="10"/>
  <c r="BC188" i="10"/>
  <c r="AZ187" i="10"/>
  <c r="AW186" i="10"/>
  <c r="AT185" i="10"/>
  <c r="AQ184" i="10"/>
  <c r="AN183" i="10"/>
  <c r="AK182" i="10"/>
  <c r="BC180" i="10"/>
  <c r="AZ179" i="10"/>
  <c r="AW177" i="10"/>
  <c r="AT176" i="10"/>
  <c r="AQ175" i="10"/>
  <c r="AN174" i="10"/>
  <c r="AK173" i="10"/>
  <c r="BC171" i="10"/>
  <c r="AZ170" i="10"/>
  <c r="AW169" i="10"/>
  <c r="AT168" i="10"/>
  <c r="AQ167" i="10"/>
  <c r="AN166" i="10"/>
  <c r="AK165" i="10"/>
  <c r="BC163" i="10"/>
  <c r="AZ162" i="10"/>
  <c r="AW161" i="10"/>
  <c r="AT160" i="10"/>
  <c r="AQ158" i="10"/>
  <c r="AN157" i="10"/>
  <c r="AK156" i="10"/>
  <c r="BC154" i="10"/>
  <c r="AZ153" i="10"/>
  <c r="AW152" i="10"/>
  <c r="AT151" i="10"/>
  <c r="AQ150" i="10"/>
  <c r="AN149" i="10"/>
  <c r="AK148" i="10"/>
  <c r="BC146" i="10"/>
  <c r="AZ145" i="10"/>
  <c r="AW144" i="10"/>
  <c r="AT143" i="10"/>
  <c r="AQ142" i="10"/>
  <c r="AN141" i="10"/>
  <c r="AK139" i="10"/>
  <c r="BC137" i="10"/>
  <c r="AZ136" i="10"/>
  <c r="AO81" i="14"/>
  <c r="AS77" i="14"/>
  <c r="AZ72" i="14"/>
  <c r="AT67" i="14"/>
  <c r="BA63" i="14"/>
  <c r="AZ58" i="14"/>
  <c r="BB54" i="14"/>
  <c r="AS50" i="14"/>
  <c r="BE46" i="14"/>
  <c r="AU40" i="14"/>
  <c r="AL37" i="14"/>
  <c r="AX32" i="14"/>
  <c r="AO28" i="14"/>
  <c r="AK25" i="14"/>
  <c r="AU21" i="14"/>
  <c r="AV18" i="14"/>
  <c r="BD14" i="14"/>
  <c r="AS12" i="14"/>
  <c r="AO6" i="14"/>
  <c r="AY72" i="13"/>
  <c r="AQ70" i="13"/>
  <c r="AT66" i="13"/>
  <c r="BD62" i="13"/>
  <c r="AV60" i="13"/>
  <c r="AN57" i="13"/>
  <c r="BA54" i="13"/>
  <c r="AT51" i="13"/>
  <c r="AN49" i="13"/>
  <c r="BB43" i="13"/>
  <c r="AX41" i="13"/>
  <c r="AT38" i="13"/>
  <c r="AU36" i="13"/>
  <c r="BC34" i="13"/>
  <c r="AL33" i="13"/>
  <c r="AT30" i="13"/>
  <c r="AX28" i="13"/>
  <c r="AK27" i="13"/>
  <c r="AO24" i="13"/>
  <c r="AW22" i="13"/>
  <c r="BC20" i="13"/>
  <c r="AU19" i="13"/>
  <c r="AN17" i="13"/>
  <c r="BB15" i="13"/>
  <c r="AR14" i="13"/>
  <c r="AK13" i="13"/>
  <c r="AX11" i="13"/>
  <c r="AV7" i="13"/>
  <c r="AV5" i="13"/>
  <c r="AS3" i="13"/>
  <c r="AS22" i="12"/>
  <c r="AT20" i="12"/>
  <c r="AU18" i="12"/>
  <c r="AV16" i="12"/>
  <c r="AW14" i="12"/>
  <c r="AX12" i="12"/>
  <c r="AV10" i="12"/>
  <c r="AW8" i="12"/>
  <c r="AX6" i="12"/>
  <c r="AK5" i="12"/>
  <c r="AL3" i="12"/>
  <c r="AK7" i="11"/>
  <c r="AM5" i="11"/>
  <c r="AN3" i="11"/>
  <c r="BC194" i="10"/>
  <c r="AX193" i="10"/>
  <c r="AS192" i="10"/>
  <c r="AN191" i="10"/>
  <c r="BE189" i="10"/>
  <c r="BB188" i="10"/>
  <c r="AY187" i="10"/>
  <c r="AV186" i="10"/>
  <c r="AS185" i="10"/>
  <c r="AP184" i="10"/>
  <c r="AM183" i="10"/>
  <c r="BE181" i="10"/>
  <c r="BB180" i="10"/>
  <c r="AY179" i="10"/>
  <c r="AV177" i="10"/>
  <c r="AS176" i="10"/>
  <c r="AP175" i="10"/>
  <c r="AM174" i="10"/>
  <c r="BE172" i="10"/>
  <c r="BB171" i="10"/>
  <c r="AY170" i="10"/>
  <c r="AV169" i="10"/>
  <c r="AS168" i="10"/>
  <c r="AP167" i="10"/>
  <c r="AM166" i="10"/>
  <c r="BE164" i="10"/>
  <c r="BB163" i="10"/>
  <c r="AY162" i="10"/>
  <c r="AV161" i="10"/>
  <c r="AS160" i="10"/>
  <c r="AP158" i="10"/>
  <c r="AM157" i="10"/>
  <c r="BE155" i="10"/>
  <c r="BB154" i="10"/>
  <c r="AY153" i="10"/>
  <c r="AV152" i="10"/>
  <c r="AS151" i="10"/>
  <c r="AP150" i="10"/>
  <c r="AM149" i="10"/>
  <c r="BE147" i="10"/>
  <c r="BB146" i="10"/>
  <c r="AY145" i="10"/>
  <c r="AV144" i="10"/>
  <c r="AS143" i="10"/>
  <c r="AP142" i="10"/>
  <c r="AN81" i="14"/>
  <c r="AP77" i="14"/>
  <c r="AO72" i="14"/>
  <c r="AS67" i="14"/>
  <c r="AZ63" i="14"/>
  <c r="AT58" i="14"/>
  <c r="BA54" i="14"/>
  <c r="AR50" i="14"/>
  <c r="BD46" i="14"/>
  <c r="AT40" i="14"/>
  <c r="AK37" i="14"/>
  <c r="AW32" i="14"/>
  <c r="AN28" i="14"/>
  <c r="BE24" i="14"/>
  <c r="AT21" i="14"/>
  <c r="AR18" i="14"/>
  <c r="BC14" i="14"/>
  <c r="BC11" i="14"/>
  <c r="AN6" i="14"/>
  <c r="AX72" i="13"/>
  <c r="BA69" i="13"/>
  <c r="AP66" i="13"/>
  <c r="BC62" i="13"/>
  <c r="AU60" i="13"/>
  <c r="AM57" i="13"/>
  <c r="AZ54" i="13"/>
  <c r="BD50" i="13"/>
  <c r="AX48" i="13"/>
  <c r="AU43" i="13"/>
  <c r="AW41" i="13"/>
  <c r="AS38" i="13"/>
  <c r="AR36" i="13"/>
  <c r="BB34" i="13"/>
  <c r="BD31" i="13"/>
  <c r="AS30" i="13"/>
  <c r="AU28" i="13"/>
  <c r="BE26" i="13"/>
  <c r="AL24" i="13"/>
  <c r="AV22" i="13"/>
  <c r="BB20" i="13"/>
  <c r="AT19" i="13"/>
  <c r="AM17" i="13"/>
  <c r="BA15" i="13"/>
  <c r="AQ14" i="13"/>
  <c r="BE12" i="13"/>
  <c r="AW11" i="13"/>
  <c r="AU7" i="13"/>
  <c r="AU5" i="13"/>
  <c r="AR3" i="13"/>
  <c r="AR22" i="12"/>
  <c r="AS20" i="12"/>
  <c r="AT18" i="12"/>
  <c r="AU16" i="12"/>
  <c r="AV14" i="12"/>
  <c r="AV12" i="12"/>
  <c r="AU10" i="12"/>
  <c r="AV8" i="12"/>
  <c r="AW6" i="12"/>
  <c r="AX4" i="12"/>
  <c r="AW8" i="11"/>
  <c r="AJ7" i="11"/>
  <c r="AL5" i="11"/>
  <c r="AL3" i="11"/>
  <c r="BB194" i="10"/>
  <c r="AW193" i="10"/>
  <c r="AR192" i="10"/>
  <c r="AM191" i="10"/>
  <c r="BD189" i="10"/>
  <c r="BA188" i="10"/>
  <c r="AX187" i="10"/>
  <c r="AU186" i="10"/>
  <c r="AR185" i="10"/>
  <c r="AO184" i="10"/>
  <c r="AL183" i="10"/>
  <c r="BD181" i="10"/>
  <c r="BA180" i="10"/>
  <c r="AX179" i="10"/>
  <c r="AU177" i="10"/>
  <c r="AR176" i="10"/>
  <c r="AO175" i="10"/>
  <c r="AL174" i="10"/>
  <c r="BD172" i="10"/>
  <c r="BA171" i="10"/>
  <c r="AX170" i="10"/>
  <c r="AU169" i="10"/>
  <c r="AR168" i="10"/>
  <c r="AO167" i="10"/>
  <c r="AL166" i="10"/>
  <c r="BD164" i="10"/>
  <c r="BA163" i="10"/>
  <c r="AX162" i="10"/>
  <c r="AU161" i="10"/>
  <c r="AR160" i="10"/>
  <c r="AO158" i="10"/>
  <c r="AL157" i="10"/>
  <c r="BD155" i="10"/>
  <c r="BA154" i="10"/>
  <c r="AX153" i="10"/>
  <c r="AU152" i="10"/>
  <c r="AR151" i="10"/>
  <c r="AO150" i="10"/>
  <c r="AL149" i="10"/>
  <c r="BD147" i="10"/>
  <c r="BA146" i="10"/>
  <c r="AX145" i="10"/>
  <c r="AU144" i="10"/>
  <c r="AR143" i="10"/>
  <c r="AO142" i="10"/>
  <c r="AL141" i="10"/>
  <c r="BD138" i="10"/>
  <c r="BC80" i="14"/>
  <c r="AO77" i="14"/>
  <c r="AN72" i="14"/>
  <c r="AP67" i="14"/>
  <c r="AO63" i="14"/>
  <c r="AS58" i="14"/>
  <c r="AZ54" i="14"/>
  <c r="AQ50" i="14"/>
  <c r="BC46" i="14"/>
  <c r="AS40" i="14"/>
  <c r="BE36" i="14"/>
  <c r="AV32" i="14"/>
  <c r="AM28" i="14"/>
  <c r="BD24" i="14"/>
  <c r="AS21" i="14"/>
  <c r="AQ18" i="14"/>
  <c r="BA14" i="14"/>
  <c r="BB11" i="14"/>
  <c r="AM6" i="14"/>
  <c r="AW72" i="13"/>
  <c r="AZ69" i="13"/>
  <c r="AO66" i="13"/>
  <c r="BB62" i="13"/>
  <c r="AT60" i="13"/>
  <c r="AL57" i="13"/>
  <c r="AO54" i="13"/>
  <c r="BC50" i="13"/>
  <c r="AW48" i="13"/>
  <c r="AQ43" i="13"/>
  <c r="AV41" i="13"/>
  <c r="AR38" i="13"/>
  <c r="AQ36" i="13"/>
  <c r="AX34" i="13"/>
  <c r="BC31" i="13"/>
  <c r="AO30" i="13"/>
  <c r="AT28" i="13"/>
  <c r="BA26" i="13"/>
  <c r="AK24" i="13"/>
  <c r="AR22" i="13"/>
  <c r="BA20" i="13"/>
  <c r="AS19" i="13"/>
  <c r="AL17" i="13"/>
  <c r="AZ15" i="13"/>
  <c r="AP14" i="13"/>
  <c r="BD12" i="13"/>
  <c r="AV11" i="13"/>
  <c r="AT7" i="13"/>
  <c r="AT5" i="13"/>
  <c r="AQ3" i="13"/>
  <c r="AQ22" i="12"/>
  <c r="AR20" i="12"/>
  <c r="AS18" i="12"/>
  <c r="AT16" i="12"/>
  <c r="AU14" i="12"/>
  <c r="AS12" i="12"/>
  <c r="AT10" i="12"/>
  <c r="AU8" i="12"/>
  <c r="AV6" i="12"/>
  <c r="AW4" i="12"/>
  <c r="AV8" i="11"/>
  <c r="AW6" i="11"/>
  <c r="AJ5" i="11"/>
  <c r="AK3" i="11"/>
  <c r="BA194" i="10"/>
  <c r="AV193" i="10"/>
  <c r="AQ192" i="10"/>
  <c r="AL191" i="10"/>
  <c r="BC189" i="10"/>
  <c r="AZ188" i="10"/>
  <c r="AW187" i="10"/>
  <c r="AT186" i="10"/>
  <c r="AQ185" i="10"/>
  <c r="AN184" i="10"/>
  <c r="AK183" i="10"/>
  <c r="BC181" i="10"/>
  <c r="AZ180" i="10"/>
  <c r="AW179" i="10"/>
  <c r="AT177" i="10"/>
  <c r="AQ176" i="10"/>
  <c r="AN175" i="10"/>
  <c r="AK174" i="10"/>
  <c r="BC172" i="10"/>
  <c r="AZ171" i="10"/>
  <c r="AW170" i="10"/>
  <c r="AT169" i="10"/>
  <c r="AQ168" i="10"/>
  <c r="AN167" i="10"/>
  <c r="AK166" i="10"/>
  <c r="BC164" i="10"/>
  <c r="AZ163" i="10"/>
  <c r="BB80" i="14"/>
  <c r="AN77" i="14"/>
  <c r="BC71" i="14"/>
  <c r="AO67" i="14"/>
  <c r="AN63" i="14"/>
  <c r="AP58" i="14"/>
  <c r="AO54" i="14"/>
  <c r="BA49" i="14"/>
  <c r="AR46" i="14"/>
  <c r="BC39" i="14"/>
  <c r="AT36" i="14"/>
  <c r="AK32" i="14"/>
  <c r="AW27" i="14"/>
  <c r="BC24" i="14"/>
  <c r="BC20" i="14"/>
  <c r="AP18" i="14"/>
  <c r="AZ14" i="14"/>
  <c r="AX11" i="14"/>
  <c r="AL6" i="14"/>
  <c r="AL72" i="13"/>
  <c r="AV69" i="13"/>
  <c r="AN66" i="13"/>
  <c r="BA62" i="13"/>
  <c r="AS60" i="13"/>
  <c r="AK57" i="13"/>
  <c r="AN54" i="13"/>
  <c r="BB50" i="13"/>
  <c r="AV48" i="13"/>
  <c r="AP43" i="13"/>
  <c r="AO41" i="13"/>
  <c r="AQ38" i="13"/>
  <c r="AP36" i="13"/>
  <c r="AU34" i="13"/>
  <c r="BB31" i="13"/>
  <c r="AL30" i="13"/>
  <c r="AS28" i="13"/>
  <c r="AX26" i="13"/>
  <c r="BE23" i="13"/>
  <c r="AO22" i="13"/>
  <c r="AY20" i="13"/>
  <c r="AR19" i="13"/>
  <c r="AK17" i="13"/>
  <c r="AX15" i="13"/>
  <c r="AO14" i="13"/>
  <c r="BB12" i="13"/>
  <c r="AU11" i="13"/>
  <c r="AS7" i="13"/>
  <c r="AR5" i="13"/>
  <c r="AP3" i="13"/>
  <c r="AP22" i="12"/>
  <c r="AQ20" i="12"/>
  <c r="AR18" i="12"/>
  <c r="AS16" i="12"/>
  <c r="AT14" i="12"/>
  <c r="AR12" i="12"/>
  <c r="AS10" i="12"/>
  <c r="AT8" i="12"/>
  <c r="AU6" i="12"/>
  <c r="AV4" i="12"/>
  <c r="AU8" i="11"/>
  <c r="AV6" i="11"/>
  <c r="AV4" i="11"/>
  <c r="BE195" i="10"/>
  <c r="AZ194" i="10"/>
  <c r="AU193" i="10"/>
  <c r="AP192" i="10"/>
  <c r="AK191" i="10"/>
  <c r="BB189" i="10"/>
  <c r="AY188" i="10"/>
  <c r="AV187" i="10"/>
  <c r="AS186" i="10"/>
  <c r="AP185" i="10"/>
  <c r="AM184" i="10"/>
  <c r="BE182" i="10"/>
  <c r="BB181" i="10"/>
  <c r="AY180" i="10"/>
  <c r="AV179" i="10"/>
  <c r="AS177" i="10"/>
  <c r="AP176" i="10"/>
  <c r="AM175" i="10"/>
  <c r="BE173" i="10"/>
  <c r="BB172" i="10"/>
  <c r="AY171" i="10"/>
  <c r="AV170" i="10"/>
  <c r="AS169" i="10"/>
  <c r="AP168" i="10"/>
  <c r="AM167" i="10"/>
  <c r="BE165" i="10"/>
  <c r="BB164" i="10"/>
  <c r="AY163" i="10"/>
  <c r="AY80" i="14"/>
  <c r="AX75" i="14"/>
  <c r="BB71" i="14"/>
  <c r="AN67" i="14"/>
  <c r="BC62" i="14"/>
  <c r="AO58" i="14"/>
  <c r="AN54" i="14"/>
  <c r="AZ49" i="14"/>
  <c r="AQ46" i="14"/>
  <c r="BB39" i="14"/>
  <c r="AS36" i="14"/>
  <c r="BE31" i="14"/>
  <c r="AV27" i="14"/>
  <c r="BA24" i="14"/>
  <c r="BB20" i="14"/>
  <c r="AO18" i="14"/>
  <c r="AY14" i="14"/>
  <c r="AW11" i="14"/>
  <c r="AJ6" i="14"/>
  <c r="AK72" i="13"/>
  <c r="AU69" i="13"/>
  <c r="AM66" i="13"/>
  <c r="AZ62" i="13"/>
  <c r="AR60" i="13"/>
  <c r="AU56" i="13"/>
  <c r="BE52" i="13"/>
  <c r="AY50" i="13"/>
  <c r="AS48" i="13"/>
  <c r="AO43" i="13"/>
  <c r="AK41" i="13"/>
  <c r="AP38" i="13"/>
  <c r="AO36" i="13"/>
  <c r="AS34" i="13"/>
  <c r="BA31" i="13"/>
  <c r="BE29" i="13"/>
  <c r="AR28" i="13"/>
  <c r="AV26" i="13"/>
  <c r="BD23" i="13"/>
  <c r="AM22" i="13"/>
  <c r="AX20" i="13"/>
  <c r="AQ19" i="13"/>
  <c r="BE16" i="13"/>
  <c r="AU15" i="13"/>
  <c r="AN14" i="13"/>
  <c r="BA12" i="13"/>
  <c r="AT11" i="13"/>
  <c r="AR7" i="13"/>
  <c r="AO5" i="13"/>
  <c r="AO3" i="13"/>
  <c r="AO22" i="12"/>
  <c r="AP20" i="12"/>
  <c r="AQ18" i="12"/>
  <c r="AR16" i="12"/>
  <c r="AR14" i="12"/>
  <c r="AQ12" i="12"/>
  <c r="AR10" i="12"/>
  <c r="AS8" i="12"/>
  <c r="AT6" i="12"/>
  <c r="AU4" i="12"/>
  <c r="AT8" i="11"/>
  <c r="AT6" i="11"/>
  <c r="AU4" i="11"/>
  <c r="BD195" i="10"/>
  <c r="AY194" i="10"/>
  <c r="AT193" i="10"/>
  <c r="AO192" i="10"/>
  <c r="BE190" i="10"/>
  <c r="BA189" i="10"/>
  <c r="AX188" i="10"/>
  <c r="AU187" i="10"/>
  <c r="AR186" i="10"/>
  <c r="AO185" i="10"/>
  <c r="AL184" i="10"/>
  <c r="BD182" i="10"/>
  <c r="BA181" i="10"/>
  <c r="AX180" i="10"/>
  <c r="AU179" i="10"/>
  <c r="AR177" i="10"/>
  <c r="AO176" i="10"/>
  <c r="AL175" i="10"/>
  <c r="BD173" i="10"/>
  <c r="BA172" i="10"/>
  <c r="AX171" i="10"/>
  <c r="AU170" i="10"/>
  <c r="AR169" i="10"/>
  <c r="AO168" i="10"/>
  <c r="AL167" i="10"/>
  <c r="BD165" i="10"/>
  <c r="BA164" i="10"/>
  <c r="AX163" i="10"/>
  <c r="AU162" i="10"/>
  <c r="AR161" i="10"/>
  <c r="AO160" i="10"/>
  <c r="AL158" i="10"/>
  <c r="BD156" i="10"/>
  <c r="BA155" i="10"/>
  <c r="AX154" i="10"/>
  <c r="AU153" i="10"/>
  <c r="AR152" i="10"/>
  <c r="AO151" i="10"/>
  <c r="AL150" i="10"/>
  <c r="BD148" i="10"/>
  <c r="BA147" i="10"/>
  <c r="AX146" i="10"/>
  <c r="AU145" i="10"/>
  <c r="AR144" i="10"/>
  <c r="AO143" i="10"/>
  <c r="AL142" i="10"/>
  <c r="BD139" i="10"/>
  <c r="BA138" i="10"/>
  <c r="AX137" i="10"/>
  <c r="AU136" i="10"/>
  <c r="AX80" i="14"/>
  <c r="AW75" i="14"/>
  <c r="AY71" i="14"/>
  <c r="AX66" i="14"/>
  <c r="BB62" i="14"/>
  <c r="AN58" i="14"/>
  <c r="BC53" i="14"/>
  <c r="AT49" i="14"/>
  <c r="AK46" i="14"/>
  <c r="AV39" i="14"/>
  <c r="AM36" i="14"/>
  <c r="AY31" i="14"/>
  <c r="AQ27" i="14"/>
  <c r="AZ24" i="14"/>
  <c r="AX20" i="14"/>
  <c r="AN18" i="14"/>
  <c r="AN14" i="14"/>
  <c r="AV11" i="14"/>
  <c r="AW5" i="14"/>
  <c r="BB71" i="13"/>
  <c r="AT69" i="13"/>
  <c r="AL66" i="13"/>
  <c r="AY62" i="13"/>
  <c r="AQ60" i="13"/>
  <c r="AT56" i="13"/>
  <c r="BD52" i="13"/>
  <c r="AX50" i="13"/>
  <c r="AR48" i="13"/>
  <c r="AL43" i="13"/>
  <c r="BE40" i="13"/>
  <c r="BD37" i="13"/>
  <c r="AN36" i="13"/>
  <c r="AR34" i="13"/>
  <c r="AZ31" i="13"/>
  <c r="BD29" i="13"/>
  <c r="AQ28" i="13"/>
  <c r="AU26" i="13"/>
  <c r="BC23" i="13"/>
  <c r="AL22" i="13"/>
  <c r="AW20" i="13"/>
  <c r="AP19" i="13"/>
  <c r="BD16" i="13"/>
  <c r="AT15" i="13"/>
  <c r="AM14" i="13"/>
  <c r="AZ12" i="13"/>
  <c r="AS11" i="13"/>
  <c r="AQ7" i="13"/>
  <c r="AN5" i="13"/>
  <c r="AN3" i="13"/>
  <c r="AN22" i="12"/>
  <c r="AO20" i="12"/>
  <c r="AP18" i="12"/>
  <c r="AQ16" i="12"/>
  <c r="AO14" i="12"/>
  <c r="AP12" i="12"/>
  <c r="AQ10" i="12"/>
  <c r="AR8" i="12"/>
  <c r="AS6" i="12"/>
  <c r="AT4" i="12"/>
  <c r="AS8" i="11"/>
  <c r="AR6" i="11"/>
  <c r="AT4" i="11"/>
  <c r="BC195" i="10"/>
  <c r="AX194" i="10"/>
  <c r="AS193" i="10"/>
  <c r="AN192" i="10"/>
  <c r="BD190" i="10"/>
  <c r="AZ189" i="10"/>
  <c r="AW188" i="10"/>
  <c r="AT187" i="10"/>
  <c r="AQ186" i="10"/>
  <c r="AN185" i="10"/>
  <c r="AK184" i="10"/>
  <c r="BC182" i="10"/>
  <c r="AZ181" i="10"/>
  <c r="AW180" i="10"/>
  <c r="AT179" i="10"/>
  <c r="AQ177" i="10"/>
  <c r="AN176" i="10"/>
  <c r="AK175" i="10"/>
  <c r="BC173" i="10"/>
  <c r="AZ172" i="10"/>
  <c r="AW171" i="10"/>
  <c r="AT170" i="10"/>
  <c r="AQ169" i="10"/>
  <c r="AN168" i="10"/>
  <c r="AK167" i="10"/>
  <c r="BC165" i="10"/>
  <c r="AZ164" i="10"/>
  <c r="AW163" i="10"/>
  <c r="AT162" i="10"/>
  <c r="AQ161" i="10"/>
  <c r="AN160" i="10"/>
  <c r="AK158" i="10"/>
  <c r="BC156" i="10"/>
  <c r="AZ155" i="10"/>
  <c r="AW154" i="10"/>
  <c r="AT153" i="10"/>
  <c r="AQ152" i="10"/>
  <c r="AN151" i="10"/>
  <c r="AK150" i="10"/>
  <c r="BC148" i="10"/>
  <c r="AZ147" i="10"/>
  <c r="AW146" i="10"/>
  <c r="AT145" i="10"/>
  <c r="AQ144" i="10"/>
  <c r="AN143" i="10"/>
  <c r="AK142" i="10"/>
  <c r="BC139" i="10"/>
  <c r="AZ138" i="10"/>
  <c r="AW137" i="10"/>
  <c r="AT136" i="10"/>
  <c r="AQ135" i="10"/>
  <c r="AN134" i="10"/>
  <c r="AK133" i="10"/>
  <c r="BC131" i="10"/>
  <c r="AZ130" i="10"/>
  <c r="AW129" i="10"/>
  <c r="AT128" i="10"/>
  <c r="AQ127" i="10"/>
  <c r="AN126" i="10"/>
  <c r="AK125" i="10"/>
  <c r="BC123" i="10"/>
  <c r="AZ122" i="10"/>
  <c r="AW120" i="10"/>
  <c r="AT119" i="10"/>
  <c r="AW80" i="14"/>
  <c r="AQ75" i="14"/>
  <c r="AX71" i="14"/>
  <c r="AW66" i="14"/>
  <c r="AY62" i="14"/>
  <c r="AX57" i="14"/>
  <c r="BB53" i="14"/>
  <c r="AS49" i="14"/>
  <c r="BE45" i="14"/>
  <c r="AU39" i="14"/>
  <c r="AL36" i="14"/>
  <c r="AX31" i="14"/>
  <c r="AP27" i="14"/>
  <c r="AY24" i="14"/>
  <c r="AW20" i="14"/>
  <c r="AL18" i="14"/>
  <c r="AM14" i="14"/>
  <c r="AU11" i="14"/>
  <c r="AV5" i="14"/>
  <c r="BA71" i="13"/>
  <c r="AS69" i="13"/>
  <c r="AK66" i="13"/>
  <c r="AX62" i="13"/>
  <c r="BA59" i="13"/>
  <c r="AP56" i="13"/>
  <c r="BC52" i="13"/>
  <c r="AW50" i="13"/>
  <c r="AQ48" i="13"/>
  <c r="AK43" i="13"/>
  <c r="BD40" i="13"/>
  <c r="BB37" i="13"/>
  <c r="AM36" i="13"/>
  <c r="AQ34" i="13"/>
  <c r="AY31" i="13"/>
  <c r="BC29" i="13"/>
  <c r="AP28" i="13"/>
  <c r="AT26" i="13"/>
  <c r="BB23" i="13"/>
  <c r="AK22" i="13"/>
  <c r="AV20" i="13"/>
  <c r="AO19" i="13"/>
  <c r="BC16" i="13"/>
  <c r="AS15" i="13"/>
  <c r="AL14" i="13"/>
  <c r="AY12" i="13"/>
  <c r="AR11" i="13"/>
  <c r="AP7" i="13"/>
  <c r="AM5" i="13"/>
  <c r="AM3" i="13"/>
  <c r="AM22" i="12"/>
  <c r="AN20" i="12"/>
  <c r="AO18" i="12"/>
  <c r="AP16" i="12"/>
  <c r="AN14" i="12"/>
  <c r="AO12" i="12"/>
  <c r="AP10" i="12"/>
  <c r="AQ8" i="12"/>
  <c r="AR6" i="12"/>
  <c r="AS4" i="12"/>
  <c r="AR8" i="11"/>
  <c r="AQ6" i="11"/>
  <c r="AS4" i="11"/>
  <c r="BB195" i="10"/>
  <c r="AW194" i="10"/>
  <c r="AR193" i="10"/>
  <c r="AM192" i="10"/>
  <c r="BC190" i="10"/>
  <c r="AY189" i="10"/>
  <c r="AV188" i="10"/>
  <c r="AS187" i="10"/>
  <c r="AP186" i="10"/>
  <c r="AM185" i="10"/>
  <c r="BE183" i="10"/>
  <c r="BB182" i="10"/>
  <c r="AY181" i="10"/>
  <c r="AV180" i="10"/>
  <c r="AS179" i="10"/>
  <c r="AP177" i="10"/>
  <c r="AM176" i="10"/>
  <c r="BE174" i="10"/>
  <c r="BB173" i="10"/>
  <c r="AY172" i="10"/>
  <c r="AV171" i="10"/>
  <c r="AS170" i="10"/>
  <c r="AP169" i="10"/>
  <c r="AL80" i="14"/>
  <c r="AP75" i="14"/>
  <c r="AW71" i="14"/>
  <c r="AQ66" i="14"/>
  <c r="AX62" i="14"/>
  <c r="AW57" i="14"/>
  <c r="BA53" i="14"/>
  <c r="AR49" i="14"/>
  <c r="BD45" i="14"/>
  <c r="AT39" i="14"/>
  <c r="AK36" i="14"/>
  <c r="AW31" i="14"/>
  <c r="AO27" i="14"/>
  <c r="AN24" i="14"/>
  <c r="AV20" i="14"/>
  <c r="AK18" i="14"/>
  <c r="BD13" i="14"/>
  <c r="AT11" i="14"/>
  <c r="AK5" i="14"/>
  <c r="AZ71" i="13"/>
  <c r="AR69" i="13"/>
  <c r="BE65" i="13"/>
  <c r="AW62" i="13"/>
  <c r="AZ59" i="13"/>
  <c r="AO56" i="13"/>
  <c r="BB52" i="13"/>
  <c r="AV50" i="13"/>
  <c r="AP48" i="13"/>
  <c r="BE42" i="13"/>
  <c r="BA40" i="13"/>
  <c r="AZ37" i="13"/>
  <c r="AL36" i="13"/>
  <c r="AP34" i="13"/>
  <c r="AX31" i="13"/>
  <c r="BB29" i="13"/>
  <c r="AO28" i="13"/>
  <c r="AS26" i="13"/>
  <c r="BA23" i="13"/>
  <c r="BE21" i="13"/>
  <c r="AU20" i="13"/>
  <c r="AN19" i="13"/>
  <c r="BA16" i="13"/>
  <c r="AR15" i="13"/>
  <c r="BE13" i="13"/>
  <c r="AX12" i="13"/>
  <c r="AQ11" i="13"/>
  <c r="AN7" i="13"/>
  <c r="AL5" i="13"/>
  <c r="AK3" i="13"/>
  <c r="AL22" i="12"/>
  <c r="AM20" i="12"/>
  <c r="AN18" i="12"/>
  <c r="AN16" i="12"/>
  <c r="AM14" i="12"/>
  <c r="AN12" i="12"/>
  <c r="AO10" i="12"/>
  <c r="AP8" i="12"/>
  <c r="AQ6" i="12"/>
  <c r="AR4" i="12"/>
  <c r="AP8" i="11"/>
  <c r="AP6" i="11"/>
  <c r="AR4" i="11"/>
  <c r="BA195" i="10"/>
  <c r="AV194" i="10"/>
  <c r="AQ193" i="10"/>
  <c r="AL192" i="10"/>
  <c r="BB190" i="10"/>
  <c r="AX189" i="10"/>
  <c r="AU188" i="10"/>
  <c r="AR187" i="10"/>
  <c r="AO186" i="10"/>
  <c r="AL185" i="10"/>
  <c r="BD183" i="10"/>
  <c r="BA182" i="10"/>
  <c r="AX181" i="10"/>
  <c r="AU180" i="10"/>
  <c r="AR179" i="10"/>
  <c r="AO177" i="10"/>
  <c r="AL176" i="10"/>
  <c r="BD174" i="10"/>
  <c r="BA173" i="10"/>
  <c r="AX172" i="10"/>
  <c r="AU171" i="10"/>
  <c r="AR170" i="10"/>
  <c r="AO169" i="10"/>
  <c r="AL168" i="10"/>
  <c r="BD166" i="10"/>
  <c r="BA165" i="10"/>
  <c r="AX164" i="10"/>
  <c r="AU163" i="10"/>
  <c r="AR162" i="10"/>
  <c r="AO161" i="10"/>
  <c r="AL160" i="10"/>
  <c r="BD157" i="10"/>
  <c r="BA156" i="10"/>
  <c r="AX155" i="10"/>
  <c r="AU154" i="10"/>
  <c r="AR153" i="10"/>
  <c r="AO152" i="10"/>
  <c r="AL151" i="10"/>
  <c r="BD149" i="10"/>
  <c r="BA148" i="10"/>
  <c r="AX147" i="10"/>
  <c r="AU146" i="10"/>
  <c r="AR145" i="10"/>
  <c r="AO144" i="10"/>
  <c r="AL143" i="10"/>
  <c r="BD141" i="10"/>
  <c r="AK80" i="14"/>
  <c r="AM75" i="14"/>
  <c r="AL71" i="14"/>
  <c r="AP66" i="14"/>
  <c r="AW62" i="14"/>
  <c r="AQ57" i="14"/>
  <c r="AY53" i="14"/>
  <c r="AP49" i="14"/>
  <c r="BB45" i="14"/>
  <c r="AR39" i="14"/>
  <c r="BD34" i="14"/>
  <c r="AU31" i="14"/>
  <c r="AN27" i="14"/>
  <c r="AM24" i="14"/>
  <c r="AU20" i="14"/>
  <c r="BE16" i="14"/>
  <c r="BC13" i="14"/>
  <c r="AR11" i="14"/>
  <c r="AJ5" i="14"/>
  <c r="AY71" i="13"/>
  <c r="AQ69" i="13"/>
  <c r="BD65" i="13"/>
  <c r="AL62" i="13"/>
  <c r="AV59" i="13"/>
  <c r="AN56" i="13"/>
  <c r="BA52" i="13"/>
  <c r="AU50" i="13"/>
  <c r="AO48" i="13"/>
  <c r="BD42" i="13"/>
  <c r="AZ40" i="13"/>
  <c r="AY37" i="13"/>
  <c r="AK36" i="13"/>
  <c r="AO34" i="13"/>
  <c r="AW31" i="13"/>
  <c r="BA29" i="13"/>
  <c r="AN28" i="13"/>
  <c r="AR26" i="13"/>
  <c r="AZ23" i="13"/>
  <c r="BD21" i="13"/>
  <c r="AT20" i="13"/>
  <c r="AM19" i="13"/>
  <c r="AX16" i="13"/>
  <c r="AQ15" i="13"/>
  <c r="BD13" i="13"/>
  <c r="AW12" i="13"/>
  <c r="AP11" i="13"/>
  <c r="AK7" i="13"/>
  <c r="AK5" i="13"/>
  <c r="AX23" i="12"/>
  <c r="AK22" i="12"/>
  <c r="AL20" i="12"/>
  <c r="AM18" i="12"/>
  <c r="AK16" i="12"/>
  <c r="AL14" i="12"/>
  <c r="AM12" i="12"/>
  <c r="AN10" i="12"/>
  <c r="AO8" i="12"/>
  <c r="AP6" i="12"/>
  <c r="AQ4" i="12"/>
  <c r="AM8" i="11"/>
  <c r="AO6" i="11"/>
  <c r="AQ4" i="11"/>
  <c r="AZ195" i="10"/>
  <c r="AU194" i="10"/>
  <c r="AP193" i="10"/>
  <c r="AK192" i="10"/>
  <c r="BA190" i="10"/>
  <c r="AW189" i="10"/>
  <c r="AT188" i="10"/>
  <c r="AQ187" i="10"/>
  <c r="AN186" i="10"/>
  <c r="AK185" i="10"/>
  <c r="BC183" i="10"/>
  <c r="AZ182" i="10"/>
  <c r="AW181" i="10"/>
  <c r="AT180" i="10"/>
  <c r="AQ179" i="10"/>
  <c r="AN177" i="10"/>
  <c r="AK176" i="10"/>
  <c r="BC174" i="10"/>
  <c r="AZ173" i="10"/>
  <c r="AW172" i="10"/>
  <c r="AT171" i="10"/>
  <c r="AQ170" i="10"/>
  <c r="AN169" i="10"/>
  <c r="AK168" i="10"/>
  <c r="BC166" i="10"/>
  <c r="AZ165" i="10"/>
  <c r="AW164" i="10"/>
  <c r="AT163" i="10"/>
  <c r="AQ162" i="10"/>
  <c r="AN161" i="10"/>
  <c r="AK160" i="10"/>
  <c r="BC157" i="10"/>
  <c r="AZ156" i="10"/>
  <c r="AW155" i="10"/>
  <c r="AT154" i="10"/>
  <c r="AQ153" i="10"/>
  <c r="AN152" i="10"/>
  <c r="AK151" i="10"/>
  <c r="BC149" i="10"/>
  <c r="AZ148" i="10"/>
  <c r="AW147" i="10"/>
  <c r="AT146" i="10"/>
  <c r="AQ145" i="10"/>
  <c r="AN144" i="10"/>
  <c r="AZ79" i="14"/>
  <c r="AL75" i="14"/>
  <c r="AK71" i="14"/>
  <c r="AM66" i="14"/>
  <c r="AL62" i="14"/>
  <c r="AP57" i="14"/>
  <c r="AX53" i="14"/>
  <c r="AO49" i="14"/>
  <c r="BA45" i="14"/>
  <c r="AQ39" i="14"/>
  <c r="BC34" i="14"/>
  <c r="AT31" i="14"/>
  <c r="AL27" i="14"/>
  <c r="BD22" i="14"/>
  <c r="AT20" i="14"/>
  <c r="AT16" i="14"/>
  <c r="BB13" i="14"/>
  <c r="AQ11" i="14"/>
  <c r="AT4" i="14"/>
  <c r="AX71" i="13"/>
  <c r="AP69" i="13"/>
  <c r="BC65" i="13"/>
  <c r="AK62" i="13"/>
  <c r="AU59" i="13"/>
  <c r="AM56" i="13"/>
  <c r="AZ52" i="13"/>
  <c r="AT50" i="13"/>
  <c r="AN48" i="13"/>
  <c r="BC42" i="13"/>
  <c r="AY40" i="13"/>
  <c r="AX37" i="13"/>
  <c r="BE35" i="13"/>
  <c r="AL34" i="13"/>
  <c r="AV31" i="13"/>
  <c r="AX29" i="13"/>
  <c r="AM28" i="13"/>
  <c r="AO26" i="13"/>
  <c r="AY23" i="13"/>
  <c r="BA21" i="13"/>
  <c r="AS20" i="13"/>
  <c r="AL19" i="13"/>
  <c r="AW16" i="13"/>
  <c r="AP15" i="13"/>
  <c r="BC13" i="13"/>
  <c r="AV12" i="13"/>
  <c r="AO11" i="13"/>
  <c r="AJ7" i="13"/>
  <c r="AJ5" i="13"/>
  <c r="AW23" i="12"/>
  <c r="AX21" i="12"/>
  <c r="AK20" i="12"/>
  <c r="AL18" i="12"/>
  <c r="AX15" i="12"/>
  <c r="AK14" i="12"/>
  <c r="AL12" i="12"/>
  <c r="AM10" i="12"/>
  <c r="AN8" i="12"/>
  <c r="AO6" i="12"/>
  <c r="AP4" i="12"/>
  <c r="AL8" i="11"/>
  <c r="AN6" i="11"/>
  <c r="AP4" i="11"/>
  <c r="AY195" i="10"/>
  <c r="AT194" i="10"/>
  <c r="AO193" i="10"/>
  <c r="BE191" i="10"/>
  <c r="AZ190" i="10"/>
  <c r="AV189" i="10"/>
  <c r="AS188" i="10"/>
  <c r="AP187" i="10"/>
  <c r="AM186" i="10"/>
  <c r="BE184" i="10"/>
  <c r="BB183" i="10"/>
  <c r="AY182" i="10"/>
  <c r="AV181" i="10"/>
  <c r="AS180" i="10"/>
  <c r="AP179" i="10"/>
  <c r="AM177" i="10"/>
  <c r="BE175" i="10"/>
  <c r="BB174" i="10"/>
  <c r="AY173" i="10"/>
  <c r="AV172" i="10"/>
  <c r="AS171" i="10"/>
  <c r="AP170" i="10"/>
  <c r="AM169" i="10"/>
  <c r="BE167" i="10"/>
  <c r="BB166" i="10"/>
  <c r="AY165" i="10"/>
  <c r="AV164" i="10"/>
  <c r="AS163" i="10"/>
  <c r="AP162" i="10"/>
  <c r="AM161" i="10"/>
  <c r="BE158" i="10"/>
  <c r="BB157" i="10"/>
  <c r="AY156" i="10"/>
  <c r="AV155" i="10"/>
  <c r="AS154" i="10"/>
  <c r="AP153" i="10"/>
  <c r="AM152" i="10"/>
  <c r="BE150" i="10"/>
  <c r="BB149" i="10"/>
  <c r="AY148" i="10"/>
  <c r="AV147" i="10"/>
  <c r="AS146" i="10"/>
  <c r="AP145" i="10"/>
  <c r="AM144" i="10"/>
  <c r="BE142" i="10"/>
  <c r="BB141" i="10"/>
  <c r="AY139" i="10"/>
  <c r="AV138" i="10"/>
  <c r="AS137" i="10"/>
  <c r="AP136" i="10"/>
  <c r="AM135" i="10"/>
  <c r="BE133" i="10"/>
  <c r="BB132" i="10"/>
  <c r="AY131" i="10"/>
  <c r="AV130" i="10"/>
  <c r="AS129" i="10"/>
  <c r="AP128" i="10"/>
  <c r="AM127" i="10"/>
  <c r="BE125" i="10"/>
  <c r="BB124" i="10"/>
  <c r="AY123" i="10"/>
  <c r="AV122" i="10"/>
  <c r="AS120" i="10"/>
  <c r="AP119" i="10"/>
  <c r="AY79" i="14"/>
  <c r="AK75" i="14"/>
  <c r="AZ70" i="14"/>
  <c r="AL66" i="14"/>
  <c r="AK62" i="14"/>
  <c r="AM57" i="14"/>
  <c r="AW53" i="14"/>
  <c r="AN49" i="14"/>
  <c r="AZ45" i="14"/>
  <c r="AP39" i="14"/>
  <c r="BB34" i="14"/>
  <c r="AS31" i="14"/>
  <c r="AK27" i="14"/>
  <c r="BC22" i="14"/>
  <c r="AR20" i="14"/>
  <c r="AS16" i="14"/>
  <c r="BA13" i="14"/>
  <c r="AP11" i="14"/>
  <c r="AS4" i="14"/>
  <c r="AW71" i="13"/>
  <c r="AO69" i="13"/>
  <c r="AR65" i="13"/>
  <c r="BB61" i="13"/>
  <c r="AT59" i="13"/>
  <c r="AL56" i="13"/>
  <c r="AY52" i="13"/>
  <c r="AS50" i="13"/>
  <c r="AM48" i="13"/>
  <c r="BB42" i="13"/>
  <c r="AX40" i="13"/>
  <c r="AU37" i="13"/>
  <c r="BA35" i="13"/>
  <c r="AK34" i="13"/>
  <c r="AR31" i="13"/>
  <c r="AW29" i="13"/>
  <c r="BD27" i="13"/>
  <c r="AN26" i="13"/>
  <c r="AU23" i="13"/>
  <c r="AZ21" i="13"/>
  <c r="AR20" i="13"/>
  <c r="AK19" i="13"/>
  <c r="AV16" i="13"/>
  <c r="AO15" i="13"/>
  <c r="BB13" i="13"/>
  <c r="AU12" i="13"/>
  <c r="AN11" i="13"/>
  <c r="AW6" i="13"/>
  <c r="AW4" i="13"/>
  <c r="AV23" i="12"/>
  <c r="AW21" i="12"/>
  <c r="AX19" i="12"/>
  <c r="AX17" i="12"/>
  <c r="AW15" i="12"/>
  <c r="AX13" i="12"/>
  <c r="AK12" i="12"/>
  <c r="AL10" i="12"/>
  <c r="AM8" i="12"/>
  <c r="AN6" i="12"/>
  <c r="AN4" i="12"/>
  <c r="AK8" i="11"/>
  <c r="AM6" i="11"/>
  <c r="AO4" i="11"/>
  <c r="AX195" i="10"/>
  <c r="AS194" i="10"/>
  <c r="AN193" i="10"/>
  <c r="BD191" i="10"/>
  <c r="AY190" i="10"/>
  <c r="AU189" i="10"/>
  <c r="AR188" i="10"/>
  <c r="AO187" i="10"/>
  <c r="AL186" i="10"/>
  <c r="BD184" i="10"/>
  <c r="BA183" i="10"/>
  <c r="AX182" i="10"/>
  <c r="AU181" i="10"/>
  <c r="AR180" i="10"/>
  <c r="AO179" i="10"/>
  <c r="AL177" i="10"/>
  <c r="BD175" i="10"/>
  <c r="BA174" i="10"/>
  <c r="AX173" i="10"/>
  <c r="AU172" i="10"/>
  <c r="AR171" i="10"/>
  <c r="AO170" i="10"/>
  <c r="AL169" i="10"/>
  <c r="BD167" i="10"/>
  <c r="BA166" i="10"/>
  <c r="AX165" i="10"/>
  <c r="AU164" i="10"/>
  <c r="AR163" i="10"/>
  <c r="AO162" i="10"/>
  <c r="AL161" i="10"/>
  <c r="BD158" i="10"/>
  <c r="BA157" i="10"/>
  <c r="AX156" i="10"/>
  <c r="AU155" i="10"/>
  <c r="AR154" i="10"/>
  <c r="AO153" i="10"/>
  <c r="AL152" i="10"/>
  <c r="BD150" i="10"/>
  <c r="BA149" i="10"/>
  <c r="AX148" i="10"/>
  <c r="AU147" i="10"/>
  <c r="AR146" i="10"/>
  <c r="AO145" i="10"/>
  <c r="AL144" i="10"/>
  <c r="BD142" i="10"/>
  <c r="BA141" i="10"/>
  <c r="AV79" i="14"/>
  <c r="AU74" i="14"/>
  <c r="AY70" i="14"/>
  <c r="AK66" i="14"/>
  <c r="AZ61" i="14"/>
  <c r="AL57" i="14"/>
  <c r="AL53" i="14"/>
  <c r="AX48" i="14"/>
  <c r="AO45" i="14"/>
  <c r="AZ38" i="14"/>
  <c r="AQ34" i="14"/>
  <c r="BC30" i="14"/>
  <c r="BE26" i="14"/>
  <c r="BB22" i="14"/>
  <c r="AQ20" i="14"/>
  <c r="AO16" i="14"/>
  <c r="AZ13" i="14"/>
  <c r="AQ8" i="14"/>
  <c r="AR4" i="14"/>
  <c r="AV71" i="13"/>
  <c r="AN69" i="13"/>
  <c r="AQ65" i="13"/>
  <c r="BA61" i="13"/>
  <c r="AS59" i="13"/>
  <c r="AK56" i="13"/>
  <c r="AX52" i="13"/>
  <c r="AR50" i="13"/>
  <c r="AL48" i="13"/>
  <c r="BA42" i="13"/>
  <c r="AW40" i="13"/>
  <c r="AT37" i="13"/>
  <c r="AX35" i="13"/>
  <c r="BE33" i="13"/>
  <c r="AO31" i="13"/>
  <c r="AV29" i="13"/>
  <c r="BA27" i="13"/>
  <c r="AM26" i="13"/>
  <c r="AR23" i="13"/>
  <c r="AY21" i="13"/>
  <c r="AQ20" i="13"/>
  <c r="BD17" i="13"/>
  <c r="AU16" i="13"/>
  <c r="AM15" i="13"/>
  <c r="BA13" i="13"/>
  <c r="AT12" i="13"/>
  <c r="AL11" i="13"/>
  <c r="AV6" i="13"/>
  <c r="AU4" i="13"/>
  <c r="AU23" i="12"/>
  <c r="AV21" i="12"/>
  <c r="AW19" i="12"/>
  <c r="AU17" i="12"/>
  <c r="AV15" i="12"/>
  <c r="AW13" i="12"/>
  <c r="AX11" i="12"/>
  <c r="AK10" i="12"/>
  <c r="AL8" i="12"/>
  <c r="AM6" i="12"/>
  <c r="AK4" i="12"/>
  <c r="AJ8" i="11"/>
  <c r="AL6" i="11"/>
  <c r="AN4" i="11"/>
  <c r="AW195" i="10"/>
  <c r="AR194" i="10"/>
  <c r="AM193" i="10"/>
  <c r="BC191" i="10"/>
  <c r="AX190" i="10"/>
  <c r="AT189" i="10"/>
  <c r="AQ188" i="10"/>
  <c r="AN187" i="10"/>
  <c r="AK186" i="10"/>
  <c r="BC184" i="10"/>
  <c r="AZ183" i="10"/>
  <c r="AW182" i="10"/>
  <c r="AT181" i="10"/>
  <c r="AQ180" i="10"/>
  <c r="AN179" i="10"/>
  <c r="AK177" i="10"/>
  <c r="BC175" i="10"/>
  <c r="AZ174" i="10"/>
  <c r="AW173" i="10"/>
  <c r="AT172" i="10"/>
  <c r="AQ171" i="10"/>
  <c r="AN170" i="10"/>
  <c r="AK169" i="10"/>
  <c r="BC167" i="10"/>
  <c r="AZ166" i="10"/>
  <c r="AW165" i="10"/>
  <c r="AT164" i="10"/>
  <c r="AQ163" i="10"/>
  <c r="AN162" i="10"/>
  <c r="AK161" i="10"/>
  <c r="BC158" i="10"/>
  <c r="AZ157" i="10"/>
  <c r="AW156" i="10"/>
  <c r="AT155" i="10"/>
  <c r="AQ154" i="10"/>
  <c r="AN153" i="10"/>
  <c r="AK152" i="10"/>
  <c r="AU79" i="14"/>
  <c r="AT74" i="14"/>
  <c r="AV70" i="14"/>
  <c r="AU65" i="14"/>
  <c r="AY61" i="14"/>
  <c r="AK57" i="14"/>
  <c r="AK53" i="14"/>
  <c r="AW48" i="14"/>
  <c r="AN45" i="14"/>
  <c r="AY38" i="14"/>
  <c r="AP34" i="14"/>
  <c r="BB30" i="14"/>
  <c r="AT26" i="14"/>
  <c r="BA22" i="14"/>
  <c r="AP20" i="14"/>
  <c r="AN16" i="14"/>
  <c r="AX13" i="14"/>
  <c r="AP8" i="14"/>
  <c r="AQ4" i="14"/>
  <c r="AU71" i="13"/>
  <c r="AX67" i="13"/>
  <c r="AM65" i="13"/>
  <c r="AZ61" i="13"/>
  <c r="AR59" i="13"/>
  <c r="BE55" i="13"/>
  <c r="AW52" i="13"/>
  <c r="AQ50" i="13"/>
  <c r="BE44" i="13"/>
  <c r="AZ42" i="13"/>
  <c r="AV40" i="13"/>
  <c r="AS37" i="13"/>
  <c r="AV35" i="13"/>
  <c r="BD33" i="13"/>
  <c r="AM31" i="13"/>
  <c r="AU29" i="13"/>
  <c r="AY27" i="13"/>
  <c r="AL26" i="13"/>
  <c r="AP23" i="13"/>
  <c r="AX21" i="13"/>
  <c r="AP20" i="13"/>
  <c r="BA17" i="13"/>
  <c r="AT16" i="13"/>
  <c r="AL15" i="13"/>
  <c r="AZ13" i="13"/>
  <c r="AS12" i="13"/>
  <c r="AU8" i="13"/>
  <c r="AU6" i="13"/>
  <c r="AT4" i="13"/>
  <c r="AT23" i="12"/>
  <c r="AU21" i="12"/>
  <c r="AV19" i="12"/>
  <c r="AT17" i="12"/>
  <c r="AU15" i="12"/>
  <c r="AV13" i="12"/>
  <c r="AW11" i="12"/>
  <c r="AX9" i="12"/>
  <c r="AK8" i="12"/>
  <c r="AL6" i="12"/>
  <c r="AX3" i="12"/>
  <c r="AW7" i="11"/>
  <c r="AK6" i="11"/>
  <c r="AM4" i="11"/>
  <c r="AV195" i="10"/>
  <c r="AQ194" i="10"/>
  <c r="AL193" i="10"/>
  <c r="BB191" i="10"/>
  <c r="AW190" i="10"/>
  <c r="AS189" i="10"/>
  <c r="AP188" i="10"/>
  <c r="AM187" i="10"/>
  <c r="BE185" i="10"/>
  <c r="BB184" i="10"/>
  <c r="AY183" i="10"/>
  <c r="AV182" i="10"/>
  <c r="AS181" i="10"/>
  <c r="AP180" i="10"/>
  <c r="AM179" i="10"/>
  <c r="BE176" i="10"/>
  <c r="BB175" i="10"/>
  <c r="AY174" i="10"/>
  <c r="AV173" i="10"/>
  <c r="AS172" i="10"/>
  <c r="AP171" i="10"/>
  <c r="AM170" i="10"/>
  <c r="BE168" i="10"/>
  <c r="BB167" i="10"/>
  <c r="AY166" i="10"/>
  <c r="AV165" i="10"/>
  <c r="AS164" i="10"/>
  <c r="AP163" i="10"/>
  <c r="AM162" i="10"/>
  <c r="BE160" i="10"/>
  <c r="BB158" i="10"/>
  <c r="AY157" i="10"/>
  <c r="AV156" i="10"/>
  <c r="AS155" i="10"/>
  <c r="AP154" i="10"/>
  <c r="AM153" i="10"/>
  <c r="BE151" i="10"/>
  <c r="BB150" i="10"/>
  <c r="AY149" i="10"/>
  <c r="AV148" i="10"/>
  <c r="AS147" i="10"/>
  <c r="AP146" i="10"/>
  <c r="AM145" i="10"/>
  <c r="BE143" i="10"/>
  <c r="BB142" i="10"/>
  <c r="AY141" i="10"/>
  <c r="AV139" i="10"/>
  <c r="AT79" i="14"/>
  <c r="AN74" i="14"/>
  <c r="AU70" i="14"/>
  <c r="AT65" i="14"/>
  <c r="AV61" i="14"/>
  <c r="AU56" i="14"/>
  <c r="AZ51" i="14"/>
  <c r="AQ48" i="14"/>
  <c r="BC44" i="14"/>
  <c r="AS38" i="14"/>
  <c r="BE33" i="14"/>
  <c r="AV30" i="14"/>
  <c r="AS26" i="14"/>
  <c r="AZ22" i="14"/>
  <c r="AZ19" i="14"/>
  <c r="AM16" i="14"/>
  <c r="AW13" i="14"/>
  <c r="AL8" i="14"/>
  <c r="AP4" i="14"/>
  <c r="AT71" i="13"/>
  <c r="AW67" i="13"/>
  <c r="AL65" i="13"/>
  <c r="AY61" i="13"/>
  <c r="AQ59" i="13"/>
  <c r="BD55" i="13"/>
  <c r="AL52" i="13"/>
  <c r="BA49" i="13"/>
  <c r="AT44" i="13"/>
  <c r="AY42" i="13"/>
  <c r="AU40" i="13"/>
  <c r="AR37" i="13"/>
  <c r="AU35" i="13"/>
  <c r="BC33" i="13"/>
  <c r="AL31" i="13"/>
  <c r="AT29" i="13"/>
  <c r="AX27" i="13"/>
  <c r="AK26" i="13"/>
  <c r="AO23" i="13"/>
  <c r="AW21" i="13"/>
  <c r="AO20" i="13"/>
  <c r="AZ17" i="13"/>
  <c r="AS16" i="13"/>
  <c r="AK15" i="13"/>
  <c r="AY13" i="13"/>
  <c r="AR12" i="13"/>
  <c r="AT8" i="13"/>
  <c r="AT6" i="13"/>
  <c r="AS4" i="13"/>
  <c r="AS23" i="12"/>
  <c r="AT21" i="12"/>
  <c r="AT19" i="12"/>
  <c r="AS17" i="12"/>
  <c r="AT15" i="12"/>
  <c r="AU13" i="12"/>
  <c r="AV11" i="12"/>
  <c r="AW9" i="12"/>
  <c r="AX7" i="12"/>
  <c r="AX5" i="12"/>
  <c r="AW3" i="12"/>
  <c r="AV7" i="11"/>
  <c r="AJ6" i="11"/>
  <c r="AL4" i="11"/>
  <c r="AU195" i="10"/>
  <c r="AP194" i="10"/>
  <c r="AK193" i="10"/>
  <c r="BA191" i="10"/>
  <c r="AV190" i="10"/>
  <c r="AR189" i="10"/>
  <c r="AO188" i="10"/>
  <c r="AL187" i="10"/>
  <c r="BD185" i="10"/>
  <c r="BA184" i="10"/>
  <c r="AX183" i="10"/>
  <c r="AU182" i="10"/>
  <c r="AR181" i="10"/>
  <c r="AO180" i="10"/>
  <c r="AL179" i="10"/>
  <c r="BD176" i="10"/>
  <c r="BA175" i="10"/>
  <c r="AX174" i="10"/>
  <c r="AU173" i="10"/>
  <c r="AR172" i="10"/>
  <c r="AO171" i="10"/>
  <c r="AL170" i="10"/>
  <c r="BD168" i="10"/>
  <c r="BA167" i="10"/>
  <c r="AX166" i="10"/>
  <c r="AU165" i="10"/>
  <c r="AR164" i="10"/>
  <c r="AO163" i="10"/>
  <c r="AL162" i="10"/>
  <c r="BD160" i="10"/>
  <c r="BA158" i="10"/>
  <c r="AX157" i="10"/>
  <c r="AU156" i="10"/>
  <c r="AR155" i="10"/>
  <c r="AO154" i="10"/>
  <c r="AL153" i="10"/>
  <c r="BD151" i="10"/>
  <c r="AW78" i="14"/>
  <c r="BD73" i="14"/>
  <c r="BC69" i="14"/>
  <c r="BE64" i="14"/>
  <c r="BD59" i="14"/>
  <c r="AM56" i="14"/>
  <c r="AV51" i="14"/>
  <c r="AM48" i="14"/>
  <c r="AY44" i="14"/>
  <c r="AO38" i="14"/>
  <c r="BA33" i="14"/>
  <c r="AR30" i="14"/>
  <c r="AL26" i="14"/>
  <c r="AV22" i="14"/>
  <c r="AT19" i="14"/>
  <c r="BD15" i="14"/>
  <c r="BE12" i="14"/>
  <c r="AW7" i="14"/>
  <c r="AL4" i="14"/>
  <c r="AY70" i="13"/>
  <c r="AQ67" i="13"/>
  <c r="BD64" i="13"/>
  <c r="AV61" i="13"/>
  <c r="AN59" i="13"/>
  <c r="AQ55" i="13"/>
  <c r="BB51" i="13"/>
  <c r="AV49" i="13"/>
  <c r="AO44" i="13"/>
  <c r="AM42" i="13"/>
  <c r="AL40" i="13"/>
  <c r="AO37" i="13"/>
  <c r="AR35" i="13"/>
  <c r="AZ33" i="13"/>
  <c r="BD30" i="13"/>
  <c r="AQ29" i="13"/>
  <c r="AU27" i="13"/>
  <c r="BC24" i="13"/>
  <c r="AL23" i="13"/>
  <c r="AT21" i="13"/>
  <c r="BD19" i="13"/>
  <c r="AW17" i="13"/>
  <c r="AO16" i="13"/>
  <c r="BC14" i="13"/>
  <c r="AV13" i="13"/>
  <c r="AL12" i="13"/>
  <c r="AQ8" i="13"/>
  <c r="AP6" i="13"/>
  <c r="AP4" i="13"/>
  <c r="AP23" i="12"/>
  <c r="AP21" i="12"/>
  <c r="AO19" i="12"/>
  <c r="AP17" i="12"/>
  <c r="AQ15" i="12"/>
  <c r="AR13" i="12"/>
  <c r="AS11" i="12"/>
  <c r="AT9" i="12"/>
  <c r="AT7" i="12"/>
  <c r="AS5" i="12"/>
  <c r="AT3" i="12"/>
  <c r="AS7" i="11"/>
  <c r="AU5" i="11"/>
  <c r="AW3" i="11"/>
  <c r="AR195" i="10"/>
  <c r="AM194" i="10"/>
  <c r="BC192" i="10"/>
  <c r="AW191" i="10"/>
  <c r="AR190" i="10"/>
  <c r="AO189" i="10"/>
  <c r="AL188" i="10"/>
  <c r="BD186" i="10"/>
  <c r="BA185" i="10"/>
  <c r="AX184" i="10"/>
  <c r="AU183" i="10"/>
  <c r="AR182" i="10"/>
  <c r="AO181" i="10"/>
  <c r="AL180" i="10"/>
  <c r="BD177" i="10"/>
  <c r="BA176" i="10"/>
  <c r="AX175" i="10"/>
  <c r="AU174" i="10"/>
  <c r="AR173" i="10"/>
  <c r="AO172" i="10"/>
  <c r="AL171" i="10"/>
  <c r="BD169" i="10"/>
  <c r="BA168" i="10"/>
  <c r="AX167" i="10"/>
  <c r="AU166" i="10"/>
  <c r="AR165" i="10"/>
  <c r="AO164" i="10"/>
  <c r="AL163" i="10"/>
  <c r="BD161" i="10"/>
  <c r="BA160" i="10"/>
  <c r="AX158" i="10"/>
  <c r="AU157" i="10"/>
  <c r="AR156" i="10"/>
  <c r="AO155" i="10"/>
  <c r="AL154" i="10"/>
  <c r="BD152" i="10"/>
  <c r="BA151" i="10"/>
  <c r="BD78" i="14"/>
  <c r="AN26" i="14"/>
  <c r="BC55" i="13"/>
  <c r="BE24" i="13"/>
  <c r="AR23" i="12"/>
  <c r="AW5" i="11"/>
  <c r="AW183" i="10"/>
  <c r="BC168" i="10"/>
  <c r="AT161" i="10"/>
  <c r="BC155" i="10"/>
  <c r="AQ151" i="10"/>
  <c r="AS148" i="10"/>
  <c r="AN145" i="10"/>
  <c r="AT142" i="10"/>
  <c r="BE138" i="10"/>
  <c r="AO137" i="10"/>
  <c r="AS135" i="10"/>
  <c r="BB133" i="10"/>
  <c r="AM132" i="10"/>
  <c r="AW130" i="10"/>
  <c r="AL129" i="10"/>
  <c r="AT127" i="10"/>
  <c r="BD125" i="10"/>
  <c r="AU124" i="10"/>
  <c r="BC122" i="10"/>
  <c r="AR120" i="10"/>
  <c r="BD118" i="10"/>
  <c r="AX117" i="10"/>
  <c r="AU116" i="10"/>
  <c r="AR115" i="10"/>
  <c r="AO114" i="10"/>
  <c r="AL113" i="10"/>
  <c r="BD111" i="10"/>
  <c r="BA110" i="10"/>
  <c r="AX109" i="10"/>
  <c r="AU108" i="10"/>
  <c r="AR107" i="10"/>
  <c r="AO106" i="10"/>
  <c r="AL105" i="10"/>
  <c r="BD103" i="10"/>
  <c r="BA102" i="10"/>
  <c r="AW98" i="10"/>
  <c r="AT97" i="10"/>
  <c r="AQ96" i="10"/>
  <c r="AN95" i="10"/>
  <c r="AK94" i="10"/>
  <c r="BC92" i="10"/>
  <c r="AZ91" i="10"/>
  <c r="AW90" i="10"/>
  <c r="AT88" i="10"/>
  <c r="AQ87" i="10"/>
  <c r="AN86" i="10"/>
  <c r="AK85" i="10"/>
  <c r="BC83" i="10"/>
  <c r="AZ82" i="10"/>
  <c r="AW81" i="10"/>
  <c r="AT80" i="10"/>
  <c r="AQ78" i="10"/>
  <c r="AN77" i="10"/>
  <c r="AK76" i="10"/>
  <c r="BC74" i="10"/>
  <c r="AZ73" i="10"/>
  <c r="AW72" i="10"/>
  <c r="AT71" i="10"/>
  <c r="AQ70" i="10"/>
  <c r="AN68" i="10"/>
  <c r="AK67" i="10"/>
  <c r="BC65" i="10"/>
  <c r="AZ64" i="10"/>
  <c r="AW63" i="10"/>
  <c r="AT62" i="10"/>
  <c r="AQ61" i="10"/>
  <c r="AN60" i="10"/>
  <c r="AK58" i="10"/>
  <c r="BC56" i="10"/>
  <c r="AZ55" i="10"/>
  <c r="AW54" i="10"/>
  <c r="AT53" i="10"/>
  <c r="AQ52" i="10"/>
  <c r="AN51" i="10"/>
  <c r="AK50" i="10"/>
  <c r="BB45" i="10"/>
  <c r="AY44" i="10"/>
  <c r="AV43" i="10"/>
  <c r="AS42" i="10"/>
  <c r="AP41" i="10"/>
  <c r="AM40" i="10"/>
  <c r="BE37" i="10"/>
  <c r="BB36" i="10"/>
  <c r="AY35" i="10"/>
  <c r="AV34" i="10"/>
  <c r="AS33" i="10"/>
  <c r="AP31" i="10"/>
  <c r="AM30" i="10"/>
  <c r="BE28" i="10"/>
  <c r="BB27" i="10"/>
  <c r="AY26" i="10"/>
  <c r="AV24" i="10"/>
  <c r="AS23" i="10"/>
  <c r="AP22" i="10"/>
  <c r="AM21" i="10"/>
  <c r="BE19" i="10"/>
  <c r="BB17" i="10"/>
  <c r="AY16" i="10"/>
  <c r="AV15" i="10"/>
  <c r="AS14" i="10"/>
  <c r="AP13" i="10"/>
  <c r="AM12" i="10"/>
  <c r="AV8" i="10"/>
  <c r="AL7" i="10"/>
  <c r="AP5" i="10"/>
  <c r="AT3" i="10"/>
  <c r="AW7" i="9"/>
  <c r="AM6" i="9"/>
  <c r="AQ4" i="9"/>
  <c r="BC78" i="14"/>
  <c r="AM26" i="14"/>
  <c r="AR55" i="13"/>
  <c r="BD24" i="13"/>
  <c r="AQ23" i="12"/>
  <c r="AV5" i="11"/>
  <c r="AV183" i="10"/>
  <c r="BB168" i="10"/>
  <c r="AS161" i="10"/>
  <c r="BB155" i="10"/>
  <c r="AP151" i="10"/>
  <c r="AR148" i="10"/>
  <c r="AL145" i="10"/>
  <c r="AN142" i="10"/>
  <c r="BC138" i="10"/>
  <c r="AN137" i="10"/>
  <c r="AR135" i="10"/>
  <c r="BA133" i="10"/>
  <c r="AL132" i="10"/>
  <c r="AU130" i="10"/>
  <c r="BC128" i="10"/>
  <c r="AS127" i="10"/>
  <c r="BC125" i="10"/>
  <c r="AQ124" i="10"/>
  <c r="BB122" i="10"/>
  <c r="AQ120" i="10"/>
  <c r="AZ118" i="10"/>
  <c r="AW117" i="10"/>
  <c r="AT116" i="10"/>
  <c r="AQ115" i="10"/>
  <c r="AN114" i="10"/>
  <c r="AK113" i="10"/>
  <c r="BC111" i="10"/>
  <c r="AZ110" i="10"/>
  <c r="AW109" i="10"/>
  <c r="AT108" i="10"/>
  <c r="AQ107" i="10"/>
  <c r="AN106" i="10"/>
  <c r="AK105" i="10"/>
  <c r="BC103" i="10"/>
  <c r="AZ102" i="10"/>
  <c r="AV98" i="10"/>
  <c r="AS97" i="10"/>
  <c r="AP96" i="10"/>
  <c r="AM95" i="10"/>
  <c r="BE93" i="10"/>
  <c r="BB92" i="10"/>
  <c r="AY91" i="10"/>
  <c r="AV90" i="10"/>
  <c r="AS88" i="10"/>
  <c r="AP87" i="10"/>
  <c r="AM86" i="10"/>
  <c r="BE84" i="10"/>
  <c r="BB83" i="10"/>
  <c r="AY82" i="10"/>
  <c r="AV81" i="10"/>
  <c r="AS80" i="10"/>
  <c r="AP78" i="10"/>
  <c r="AM77" i="10"/>
  <c r="BE75" i="10"/>
  <c r="BB74" i="10"/>
  <c r="AY73" i="10"/>
  <c r="AV72" i="10"/>
  <c r="AS71" i="10"/>
  <c r="AP70" i="10"/>
  <c r="AM68" i="10"/>
  <c r="BE66" i="10"/>
  <c r="BB65" i="10"/>
  <c r="AY64" i="10"/>
  <c r="AV63" i="10"/>
  <c r="AS62" i="10"/>
  <c r="AP61" i="10"/>
  <c r="AM60" i="10"/>
  <c r="BE57" i="10"/>
  <c r="BB56" i="10"/>
  <c r="AY55" i="10"/>
  <c r="AV54" i="10"/>
  <c r="AS53" i="10"/>
  <c r="AP52" i="10"/>
  <c r="AM51" i="10"/>
  <c r="BE49" i="10"/>
  <c r="BA45" i="10"/>
  <c r="AX44" i="10"/>
  <c r="AU43" i="10"/>
  <c r="AR42" i="10"/>
  <c r="AO41" i="10"/>
  <c r="AL40" i="10"/>
  <c r="BD37" i="10"/>
  <c r="BA36" i="10"/>
  <c r="AX35" i="10"/>
  <c r="AU34" i="10"/>
  <c r="AR33" i="10"/>
  <c r="AO31" i="10"/>
  <c r="AL30" i="10"/>
  <c r="BD28" i="10"/>
  <c r="BA27" i="10"/>
  <c r="AX26" i="10"/>
  <c r="AU24" i="10"/>
  <c r="AR23" i="10"/>
  <c r="AO22" i="10"/>
  <c r="AL21" i="10"/>
  <c r="BD19" i="10"/>
  <c r="BA17" i="10"/>
  <c r="AX16" i="10"/>
  <c r="AU15" i="10"/>
  <c r="AR14" i="10"/>
  <c r="AO13" i="10"/>
  <c r="AL12" i="10"/>
  <c r="AM74" i="14"/>
  <c r="AX22" i="14"/>
  <c r="AK52" i="13"/>
  <c r="AN23" i="13"/>
  <c r="AS21" i="12"/>
  <c r="AK4" i="11"/>
  <c r="AT182" i="10"/>
  <c r="AM168" i="10"/>
  <c r="AP161" i="10"/>
  <c r="AY155" i="10"/>
  <c r="AM151" i="10"/>
  <c r="AN148" i="10"/>
  <c r="AK145" i="10"/>
  <c r="AM142" i="10"/>
  <c r="BB138" i="10"/>
  <c r="AM137" i="10"/>
  <c r="AP135" i="10"/>
  <c r="AZ133" i="10"/>
  <c r="AK132" i="10"/>
  <c r="AT130" i="10"/>
  <c r="BB128" i="10"/>
  <c r="AR127" i="10"/>
  <c r="BB125" i="10"/>
  <c r="AP124" i="10"/>
  <c r="BA122" i="10"/>
  <c r="AP120" i="10"/>
  <c r="AY118" i="10"/>
  <c r="AV117" i="10"/>
  <c r="AS116" i="10"/>
  <c r="AP115" i="10"/>
  <c r="AM114" i="10"/>
  <c r="BE112" i="10"/>
  <c r="BB111" i="10"/>
  <c r="AY110" i="10"/>
  <c r="AV109" i="10"/>
  <c r="AS108" i="10"/>
  <c r="AP107" i="10"/>
  <c r="AM106" i="10"/>
  <c r="BE104" i="10"/>
  <c r="BB103" i="10"/>
  <c r="AY102" i="10"/>
  <c r="AU98" i="10"/>
  <c r="AR97" i="10"/>
  <c r="AO96" i="10"/>
  <c r="AL95" i="10"/>
  <c r="BD93" i="10"/>
  <c r="BA92" i="10"/>
  <c r="AX91" i="10"/>
  <c r="AU90" i="10"/>
  <c r="AR88" i="10"/>
  <c r="AO87" i="10"/>
  <c r="AL86" i="10"/>
  <c r="BD84" i="10"/>
  <c r="BA83" i="10"/>
  <c r="AX82" i="10"/>
  <c r="AU81" i="10"/>
  <c r="AR80" i="10"/>
  <c r="AO78" i="10"/>
  <c r="AL77" i="10"/>
  <c r="BD75" i="10"/>
  <c r="BA74" i="10"/>
  <c r="AX73" i="10"/>
  <c r="AU72" i="10"/>
  <c r="AR71" i="10"/>
  <c r="AO70" i="10"/>
  <c r="AL68" i="10"/>
  <c r="BD66" i="10"/>
  <c r="BA65" i="10"/>
  <c r="AX64" i="10"/>
  <c r="AU63" i="10"/>
  <c r="AR62" i="10"/>
  <c r="AO61" i="10"/>
  <c r="AL60" i="10"/>
  <c r="BD57" i="10"/>
  <c r="BA56" i="10"/>
  <c r="AX55" i="10"/>
  <c r="AU54" i="10"/>
  <c r="AR53" i="10"/>
  <c r="AO52" i="10"/>
  <c r="AL51" i="10"/>
  <c r="BD49" i="10"/>
  <c r="AZ45" i="10"/>
  <c r="AW44" i="10"/>
  <c r="AT43" i="10"/>
  <c r="AQ42" i="10"/>
  <c r="AN41" i="10"/>
  <c r="AK40" i="10"/>
  <c r="BC37" i="10"/>
  <c r="AZ36" i="10"/>
  <c r="AW35" i="10"/>
  <c r="AT34" i="10"/>
  <c r="AQ33" i="10"/>
  <c r="AN31" i="10"/>
  <c r="AK30" i="10"/>
  <c r="BC28" i="10"/>
  <c r="AZ27" i="10"/>
  <c r="AW26" i="10"/>
  <c r="AT24" i="10"/>
  <c r="AQ23" i="10"/>
  <c r="AN22" i="10"/>
  <c r="AK21" i="10"/>
  <c r="BC19" i="10"/>
  <c r="AZ17" i="10"/>
  <c r="AW16" i="10"/>
  <c r="AT15" i="10"/>
  <c r="AQ14" i="10"/>
  <c r="AN13" i="10"/>
  <c r="AK12" i="10"/>
  <c r="AT8" i="10"/>
  <c r="AJ7" i="10"/>
  <c r="AN5" i="10"/>
  <c r="AR3" i="10"/>
  <c r="AU7" i="9"/>
  <c r="AK6" i="9"/>
  <c r="AO4" i="9"/>
  <c r="AZ123" i="8"/>
  <c r="AW122" i="8"/>
  <c r="AT121" i="8"/>
  <c r="AQ120" i="8"/>
  <c r="AN119" i="8"/>
  <c r="AK118" i="8"/>
  <c r="BC116" i="8"/>
  <c r="AZ115" i="8"/>
  <c r="AW114" i="8"/>
  <c r="AT113" i="8"/>
  <c r="AQ112" i="8"/>
  <c r="AN111" i="8"/>
  <c r="AK109" i="8"/>
  <c r="BE73" i="14"/>
  <c r="AW22" i="14"/>
  <c r="BE51" i="13"/>
  <c r="AM23" i="13"/>
  <c r="AR21" i="12"/>
  <c r="AJ4" i="11"/>
  <c r="AS182" i="10"/>
  <c r="AZ167" i="10"/>
  <c r="BC160" i="10"/>
  <c r="AQ155" i="10"/>
  <c r="BC150" i="10"/>
  <c r="BC147" i="10"/>
  <c r="BE144" i="10"/>
  <c r="BE141" i="10"/>
  <c r="AY138" i="10"/>
  <c r="AL137" i="10"/>
  <c r="AO135" i="10"/>
  <c r="AY133" i="10"/>
  <c r="BE131" i="10"/>
  <c r="AS130" i="10"/>
  <c r="AZ128" i="10"/>
  <c r="AP127" i="10"/>
  <c r="BA125" i="10"/>
  <c r="AN124" i="10"/>
  <c r="AY122" i="10"/>
  <c r="AO120" i="10"/>
  <c r="AX118" i="10"/>
  <c r="AU117" i="10"/>
  <c r="AR116" i="10"/>
  <c r="AO115" i="10"/>
  <c r="AL114" i="10"/>
  <c r="BD112" i="10"/>
  <c r="BA111" i="10"/>
  <c r="AX110" i="10"/>
  <c r="AU109" i="10"/>
  <c r="AR108" i="10"/>
  <c r="AO107" i="10"/>
  <c r="AL106" i="10"/>
  <c r="BD104" i="10"/>
  <c r="BA103" i="10"/>
  <c r="AX102" i="10"/>
  <c r="AT98" i="10"/>
  <c r="AQ97" i="10"/>
  <c r="AN96" i="10"/>
  <c r="AK95" i="10"/>
  <c r="BC93" i="10"/>
  <c r="AZ92" i="10"/>
  <c r="AW91" i="10"/>
  <c r="AT90" i="10"/>
  <c r="AQ88" i="10"/>
  <c r="AN87" i="10"/>
  <c r="AK86" i="10"/>
  <c r="BC84" i="10"/>
  <c r="AZ83" i="10"/>
  <c r="AW82" i="10"/>
  <c r="AT81" i="10"/>
  <c r="AQ80" i="10"/>
  <c r="AN78" i="10"/>
  <c r="AK77" i="10"/>
  <c r="BC75" i="10"/>
  <c r="AZ74" i="10"/>
  <c r="AW73" i="10"/>
  <c r="AT72" i="10"/>
  <c r="AQ71" i="10"/>
  <c r="AN70" i="10"/>
  <c r="AK68" i="10"/>
  <c r="BC66" i="10"/>
  <c r="AZ65" i="10"/>
  <c r="AW64" i="10"/>
  <c r="AT63" i="10"/>
  <c r="AQ62" i="10"/>
  <c r="AN61" i="10"/>
  <c r="AK60" i="10"/>
  <c r="BC57" i="10"/>
  <c r="AZ56" i="10"/>
  <c r="AW55" i="10"/>
  <c r="AT54" i="10"/>
  <c r="AQ53" i="10"/>
  <c r="AN52" i="10"/>
  <c r="AK51" i="10"/>
  <c r="BC49" i="10"/>
  <c r="AY45" i="10"/>
  <c r="AV44" i="10"/>
  <c r="AS43" i="10"/>
  <c r="AP42" i="10"/>
  <c r="AM41" i="10"/>
  <c r="BE38" i="10"/>
  <c r="BB37" i="10"/>
  <c r="AY36" i="10"/>
  <c r="AV35" i="10"/>
  <c r="AS34" i="10"/>
  <c r="AP33" i="10"/>
  <c r="AM31" i="10"/>
  <c r="BE29" i="10"/>
  <c r="BB28" i="10"/>
  <c r="AT70" i="14"/>
  <c r="AY19" i="14"/>
  <c r="AZ49" i="13"/>
  <c r="AV21" i="13"/>
  <c r="AQ19" i="12"/>
  <c r="AT195" i="10"/>
  <c r="AQ181" i="10"/>
  <c r="AY167" i="10"/>
  <c r="BB160" i="10"/>
  <c r="AP155" i="10"/>
  <c r="BA150" i="10"/>
  <c r="BB147" i="10"/>
  <c r="BD144" i="10"/>
  <c r="BC141" i="10"/>
  <c r="AX138" i="10"/>
  <c r="BC136" i="10"/>
  <c r="AN135" i="10"/>
  <c r="AX133" i="10"/>
  <c r="BD131" i="10"/>
  <c r="AR130" i="10"/>
  <c r="AY128" i="10"/>
  <c r="AO127" i="10"/>
  <c r="AZ125" i="10"/>
  <c r="AM124" i="10"/>
  <c r="AX122" i="10"/>
  <c r="AN120" i="10"/>
  <c r="AW118" i="10"/>
  <c r="AT117" i="10"/>
  <c r="AQ116" i="10"/>
  <c r="AN115" i="10"/>
  <c r="AK114" i="10"/>
  <c r="BC112" i="10"/>
  <c r="AZ111" i="10"/>
  <c r="AW110" i="10"/>
  <c r="AT109" i="10"/>
  <c r="AQ108" i="10"/>
  <c r="AN107" i="10"/>
  <c r="AK106" i="10"/>
  <c r="BC104" i="10"/>
  <c r="AZ103" i="10"/>
  <c r="AW102" i="10"/>
  <c r="AS98" i="10"/>
  <c r="AP97" i="10"/>
  <c r="AM96" i="10"/>
  <c r="BE94" i="10"/>
  <c r="BB93" i="10"/>
  <c r="AY92" i="10"/>
  <c r="AV91" i="10"/>
  <c r="AS90" i="10"/>
  <c r="AP88" i="10"/>
  <c r="AM87" i="10"/>
  <c r="BE85" i="10"/>
  <c r="BB84" i="10"/>
  <c r="AY83" i="10"/>
  <c r="AV82" i="10"/>
  <c r="AS81" i="10"/>
  <c r="AP80" i="10"/>
  <c r="AM78" i="10"/>
  <c r="BE76" i="10"/>
  <c r="BB75" i="10"/>
  <c r="AY74" i="10"/>
  <c r="AV73" i="10"/>
  <c r="AS72" i="10"/>
  <c r="AP71" i="10"/>
  <c r="AM70" i="10"/>
  <c r="BE67" i="10"/>
  <c r="BB66" i="10"/>
  <c r="AY65" i="10"/>
  <c r="AV64" i="10"/>
  <c r="AS63" i="10"/>
  <c r="AP62" i="10"/>
  <c r="AM61" i="10"/>
  <c r="BE58" i="10"/>
  <c r="BB57" i="10"/>
  <c r="AY56" i="10"/>
  <c r="AV55" i="10"/>
  <c r="AS54" i="10"/>
  <c r="AP53" i="10"/>
  <c r="AM52" i="10"/>
  <c r="BE50" i="10"/>
  <c r="BB49" i="10"/>
  <c r="AX45" i="10"/>
  <c r="AU44" i="10"/>
  <c r="AR43" i="10"/>
  <c r="AO42" i="10"/>
  <c r="AL41" i="10"/>
  <c r="BD38" i="10"/>
  <c r="BA37" i="10"/>
  <c r="AX36" i="10"/>
  <c r="AU35" i="10"/>
  <c r="AR34" i="10"/>
  <c r="AO33" i="10"/>
  <c r="AL31" i="10"/>
  <c r="BD29" i="10"/>
  <c r="BA28" i="10"/>
  <c r="AX27" i="10"/>
  <c r="AU26" i="10"/>
  <c r="AR24" i="10"/>
  <c r="AO23" i="10"/>
  <c r="AL22" i="10"/>
  <c r="BD20" i="10"/>
  <c r="BA19" i="10"/>
  <c r="AX17" i="10"/>
  <c r="AU16" i="10"/>
  <c r="AR15" i="10"/>
  <c r="AO14" i="10"/>
  <c r="AL13" i="10"/>
  <c r="BD11" i="10"/>
  <c r="AR8" i="10"/>
  <c r="AV6" i="10"/>
  <c r="AL5" i="10"/>
  <c r="AP3" i="10"/>
  <c r="AS7" i="9"/>
  <c r="AW5" i="9"/>
  <c r="AM4" i="9"/>
  <c r="BD69" i="14"/>
  <c r="AU19" i="14"/>
  <c r="AY49" i="13"/>
  <c r="AU21" i="13"/>
  <c r="AP19" i="12"/>
  <c r="AS195" i="10"/>
  <c r="AP181" i="10"/>
  <c r="BE166" i="10"/>
  <c r="AW160" i="10"/>
  <c r="AK155" i="10"/>
  <c r="AZ150" i="10"/>
  <c r="AY147" i="10"/>
  <c r="AZ144" i="10"/>
  <c r="AZ141" i="10"/>
  <c r="AW138" i="10"/>
  <c r="AY136" i="10"/>
  <c r="AL135" i="10"/>
  <c r="AT133" i="10"/>
  <c r="BB131" i="10"/>
  <c r="AQ130" i="10"/>
  <c r="AX128" i="10"/>
  <c r="AN127" i="10"/>
  <c r="AY125" i="10"/>
  <c r="AL124" i="10"/>
  <c r="AW122" i="10"/>
  <c r="AM120" i="10"/>
  <c r="AV118" i="10"/>
  <c r="AS117" i="10"/>
  <c r="AP116" i="10"/>
  <c r="AM115" i="10"/>
  <c r="BE113" i="10"/>
  <c r="BB112" i="10"/>
  <c r="AY111" i="10"/>
  <c r="AV110" i="10"/>
  <c r="AS109" i="10"/>
  <c r="AP108" i="10"/>
  <c r="AM107" i="10"/>
  <c r="BE105" i="10"/>
  <c r="BB104" i="10"/>
  <c r="AY103" i="10"/>
  <c r="AV102" i="10"/>
  <c r="AR98" i="10"/>
  <c r="AO97" i="10"/>
  <c r="AL96" i="10"/>
  <c r="BD94" i="10"/>
  <c r="BA93" i="10"/>
  <c r="AX92" i="10"/>
  <c r="AU91" i="10"/>
  <c r="AR90" i="10"/>
  <c r="AO88" i="10"/>
  <c r="AL87" i="10"/>
  <c r="BD85" i="10"/>
  <c r="BA84" i="10"/>
  <c r="AX83" i="10"/>
  <c r="AU82" i="10"/>
  <c r="AR81" i="10"/>
  <c r="AO80" i="10"/>
  <c r="AL78" i="10"/>
  <c r="BD76" i="10"/>
  <c r="BA75" i="10"/>
  <c r="AX74" i="10"/>
  <c r="AU73" i="10"/>
  <c r="AR72" i="10"/>
  <c r="AO71" i="10"/>
  <c r="AL70" i="10"/>
  <c r="BD67" i="10"/>
  <c r="BA66" i="10"/>
  <c r="AX65" i="10"/>
  <c r="AU64" i="10"/>
  <c r="AR63" i="10"/>
  <c r="AO62" i="10"/>
  <c r="AL61" i="10"/>
  <c r="BD58" i="10"/>
  <c r="BA57" i="10"/>
  <c r="AX56" i="10"/>
  <c r="AU55" i="10"/>
  <c r="AR54" i="10"/>
  <c r="AO53" i="10"/>
  <c r="AL52" i="10"/>
  <c r="BD50" i="10"/>
  <c r="BA49" i="10"/>
  <c r="AW45" i="10"/>
  <c r="AT44" i="10"/>
  <c r="AQ43" i="10"/>
  <c r="AN42" i="10"/>
  <c r="AK41" i="10"/>
  <c r="BC38" i="10"/>
  <c r="AZ37" i="10"/>
  <c r="AW36" i="10"/>
  <c r="AT35" i="10"/>
  <c r="AQ34" i="10"/>
  <c r="AN33" i="10"/>
  <c r="AK31" i="10"/>
  <c r="BC29" i="10"/>
  <c r="AZ28" i="10"/>
  <c r="AW27" i="10"/>
  <c r="AT26" i="10"/>
  <c r="AQ24" i="10"/>
  <c r="AN23" i="10"/>
  <c r="AK22" i="10"/>
  <c r="BC20" i="10"/>
  <c r="AZ19" i="10"/>
  <c r="AW17" i="10"/>
  <c r="AT16" i="10"/>
  <c r="AQ15" i="10"/>
  <c r="AN14" i="10"/>
  <c r="AK13" i="10"/>
  <c r="BC11" i="10"/>
  <c r="AQ8" i="10"/>
  <c r="AU6" i="10"/>
  <c r="AK5" i="10"/>
  <c r="AO3" i="10"/>
  <c r="AR7" i="9"/>
  <c r="AV5" i="9"/>
  <c r="AL4" i="9"/>
  <c r="AW123" i="8"/>
  <c r="AT122" i="8"/>
  <c r="AQ121" i="8"/>
  <c r="AN120" i="8"/>
  <c r="AK119" i="8"/>
  <c r="BC117" i="8"/>
  <c r="AZ116" i="8"/>
  <c r="AW115" i="8"/>
  <c r="AT114" i="8"/>
  <c r="AQ113" i="8"/>
  <c r="AN112" i="8"/>
  <c r="AK111" i="8"/>
  <c r="AN65" i="14"/>
  <c r="AL16" i="14"/>
  <c r="AS44" i="13"/>
  <c r="AN20" i="13"/>
  <c r="AR17" i="12"/>
  <c r="AO194" i="10"/>
  <c r="AN180" i="10"/>
  <c r="AW166" i="10"/>
  <c r="AQ160" i="10"/>
  <c r="AZ154" i="10"/>
  <c r="AY150" i="10"/>
  <c r="AT147" i="10"/>
  <c r="AT144" i="10"/>
  <c r="AX141" i="10"/>
  <c r="AU138" i="10"/>
  <c r="AX136" i="10"/>
  <c r="AK135" i="10"/>
  <c r="AQ133" i="10"/>
  <c r="BA131" i="10"/>
  <c r="AP130" i="10"/>
  <c r="AW128" i="10"/>
  <c r="AL127" i="10"/>
  <c r="AX125" i="10"/>
  <c r="AK124" i="10"/>
  <c r="AU122" i="10"/>
  <c r="AL120" i="10"/>
  <c r="AU118" i="10"/>
  <c r="AR117" i="10"/>
  <c r="AO116" i="10"/>
  <c r="AL115" i="10"/>
  <c r="BD113" i="10"/>
  <c r="BA112" i="10"/>
  <c r="AX111" i="10"/>
  <c r="AU110" i="10"/>
  <c r="AR109" i="10"/>
  <c r="AO108" i="10"/>
  <c r="AL107" i="10"/>
  <c r="BD105" i="10"/>
  <c r="BA104" i="10"/>
  <c r="AX103" i="10"/>
  <c r="AU102" i="10"/>
  <c r="AQ98" i="10"/>
  <c r="AN97" i="10"/>
  <c r="AK96" i="10"/>
  <c r="BC94" i="10"/>
  <c r="AZ93" i="10"/>
  <c r="AW92" i="10"/>
  <c r="AT91" i="10"/>
  <c r="AQ90" i="10"/>
  <c r="AN88" i="10"/>
  <c r="AK87" i="10"/>
  <c r="BC85" i="10"/>
  <c r="AZ84" i="10"/>
  <c r="AW83" i="10"/>
  <c r="AT82" i="10"/>
  <c r="AQ81" i="10"/>
  <c r="AN80" i="10"/>
  <c r="AK78" i="10"/>
  <c r="BC76" i="10"/>
  <c r="AZ75" i="10"/>
  <c r="AW74" i="10"/>
  <c r="AT73" i="10"/>
  <c r="AQ72" i="10"/>
  <c r="AN71" i="10"/>
  <c r="AK70" i="10"/>
  <c r="BC67" i="10"/>
  <c r="AZ66" i="10"/>
  <c r="AW65" i="10"/>
  <c r="AT64" i="10"/>
  <c r="AQ63" i="10"/>
  <c r="AN62" i="10"/>
  <c r="AK61" i="10"/>
  <c r="BC58" i="10"/>
  <c r="AZ57" i="10"/>
  <c r="AW56" i="10"/>
  <c r="AT55" i="10"/>
  <c r="AQ54" i="10"/>
  <c r="AN53" i="10"/>
  <c r="AK52" i="10"/>
  <c r="BC50" i="10"/>
  <c r="AZ49" i="10"/>
  <c r="AV45" i="10"/>
  <c r="AS44" i="10"/>
  <c r="AP43" i="10"/>
  <c r="AM42" i="10"/>
  <c r="BE40" i="10"/>
  <c r="BB38" i="10"/>
  <c r="AY37" i="10"/>
  <c r="AV36" i="10"/>
  <c r="AS35" i="10"/>
  <c r="AP34" i="10"/>
  <c r="AM33" i="10"/>
  <c r="BE30" i="10"/>
  <c r="BB29" i="10"/>
  <c r="AY28" i="10"/>
  <c r="AV27" i="10"/>
  <c r="AS26" i="10"/>
  <c r="AP24" i="10"/>
  <c r="AM23" i="10"/>
  <c r="BE21" i="10"/>
  <c r="BB20" i="10"/>
  <c r="AY19" i="10"/>
  <c r="AV17" i="10"/>
  <c r="AS16" i="10"/>
  <c r="AP15" i="10"/>
  <c r="AM14" i="10"/>
  <c r="BE12" i="10"/>
  <c r="BB11" i="10"/>
  <c r="AP8" i="10"/>
  <c r="AT6" i="10"/>
  <c r="AJ5" i="10"/>
  <c r="AN3" i="10"/>
  <c r="AQ7" i="9"/>
  <c r="AU5" i="9"/>
  <c r="AK4" i="9"/>
  <c r="AV123" i="8"/>
  <c r="AS122" i="8"/>
  <c r="AP121" i="8"/>
  <c r="AM120" i="8"/>
  <c r="BE118" i="8"/>
  <c r="BB117" i="8"/>
  <c r="AY116" i="8"/>
  <c r="AV115" i="8"/>
  <c r="AS114" i="8"/>
  <c r="AP113" i="8"/>
  <c r="AM112" i="8"/>
  <c r="AM65" i="14"/>
  <c r="AK16" i="14"/>
  <c r="AR44" i="13"/>
  <c r="AL20" i="13"/>
  <c r="AQ17" i="12"/>
  <c r="AN194" i="10"/>
  <c r="AM180" i="10"/>
  <c r="AV166" i="10"/>
  <c r="AP160" i="10"/>
  <c r="AY154" i="10"/>
  <c r="AX150" i="10"/>
  <c r="AR147" i="10"/>
  <c r="AS144" i="10"/>
  <c r="AW141" i="10"/>
  <c r="AT138" i="10"/>
  <c r="AW136" i="10"/>
  <c r="BE134" i="10"/>
  <c r="AP133" i="10"/>
  <c r="AZ131" i="10"/>
  <c r="AO130" i="10"/>
  <c r="AV128" i="10"/>
  <c r="AK127" i="10"/>
  <c r="AT125" i="10"/>
  <c r="BE123" i="10"/>
  <c r="AT122" i="10"/>
  <c r="BC119" i="10"/>
  <c r="AT118" i="10"/>
  <c r="AQ117" i="10"/>
  <c r="AN116" i="10"/>
  <c r="AK115" i="10"/>
  <c r="BC113" i="10"/>
  <c r="AZ112" i="10"/>
  <c r="AW111" i="10"/>
  <c r="AT110" i="10"/>
  <c r="AQ109" i="10"/>
  <c r="AN108" i="10"/>
  <c r="AK107" i="10"/>
  <c r="BC105" i="10"/>
  <c r="AZ104" i="10"/>
  <c r="AW103" i="10"/>
  <c r="AT102" i="10"/>
  <c r="AP98" i="10"/>
  <c r="AM97" i="10"/>
  <c r="BE95" i="10"/>
  <c r="BB94" i="10"/>
  <c r="AY93" i="10"/>
  <c r="AV92" i="10"/>
  <c r="AS91" i="10"/>
  <c r="AP90" i="10"/>
  <c r="AM88" i="10"/>
  <c r="BE86" i="10"/>
  <c r="BB85" i="10"/>
  <c r="AY84" i="10"/>
  <c r="AV83" i="10"/>
  <c r="AS82" i="10"/>
  <c r="AP81" i="10"/>
  <c r="AM80" i="10"/>
  <c r="BE77" i="10"/>
  <c r="BB76" i="10"/>
  <c r="AY75" i="10"/>
  <c r="AV74" i="10"/>
  <c r="AS73" i="10"/>
  <c r="AP72" i="10"/>
  <c r="AM71" i="10"/>
  <c r="BE68" i="10"/>
  <c r="BB67" i="10"/>
  <c r="AY66" i="10"/>
  <c r="AV65" i="10"/>
  <c r="AS64" i="10"/>
  <c r="AP63" i="10"/>
  <c r="AM62" i="10"/>
  <c r="BE60" i="10"/>
  <c r="BB58" i="10"/>
  <c r="AY57" i="10"/>
  <c r="AV56" i="10"/>
  <c r="AS55" i="10"/>
  <c r="AP54" i="10"/>
  <c r="AM53" i="10"/>
  <c r="BE51" i="10"/>
  <c r="BB50" i="10"/>
  <c r="AY49" i="10"/>
  <c r="AU45" i="10"/>
  <c r="AR44" i="10"/>
  <c r="AO43" i="10"/>
  <c r="AL42" i="10"/>
  <c r="BD40" i="10"/>
  <c r="BA38" i="10"/>
  <c r="AX37" i="10"/>
  <c r="AU36" i="10"/>
  <c r="AR35" i="10"/>
  <c r="AO34" i="10"/>
  <c r="AL33" i="10"/>
  <c r="BD30" i="10"/>
  <c r="BA29" i="10"/>
  <c r="AX28" i="10"/>
  <c r="AU27" i="10"/>
  <c r="AR26" i="10"/>
  <c r="AO24" i="10"/>
  <c r="AL23" i="10"/>
  <c r="BD21" i="10"/>
  <c r="BA20" i="10"/>
  <c r="AU61" i="14"/>
  <c r="AV13" i="14"/>
  <c r="AR42" i="13"/>
  <c r="AY17" i="13"/>
  <c r="AS15" i="12"/>
  <c r="BE192" i="10"/>
  <c r="AK179" i="10"/>
  <c r="BB165" i="10"/>
  <c r="AM160" i="10"/>
  <c r="AV154" i="10"/>
  <c r="AT150" i="10"/>
  <c r="AQ147" i="10"/>
  <c r="AP144" i="10"/>
  <c r="AV141" i="10"/>
  <c r="AS138" i="10"/>
  <c r="AV136" i="10"/>
  <c r="BD134" i="10"/>
  <c r="AO133" i="10"/>
  <c r="AX131" i="10"/>
  <c r="AK130" i="10"/>
  <c r="AU128" i="10"/>
  <c r="BE126" i="10"/>
  <c r="AS125" i="10"/>
  <c r="BD123" i="10"/>
  <c r="AS122" i="10"/>
  <c r="BB119" i="10"/>
  <c r="AS118" i="10"/>
  <c r="AP117" i="10"/>
  <c r="AM116" i="10"/>
  <c r="BE114" i="10"/>
  <c r="BB113" i="10"/>
  <c r="AY112" i="10"/>
  <c r="AV111" i="10"/>
  <c r="AS110" i="10"/>
  <c r="AP109" i="10"/>
  <c r="AM108" i="10"/>
  <c r="BE106" i="10"/>
  <c r="BB105" i="10"/>
  <c r="AY104" i="10"/>
  <c r="AV103" i="10"/>
  <c r="AS102" i="10"/>
  <c r="AO98" i="10"/>
  <c r="AL97" i="10"/>
  <c r="BD95" i="10"/>
  <c r="BA94" i="10"/>
  <c r="AX93" i="10"/>
  <c r="AU92" i="10"/>
  <c r="AR91" i="10"/>
  <c r="AO90" i="10"/>
  <c r="AL88" i="10"/>
  <c r="BD86" i="10"/>
  <c r="BA85" i="10"/>
  <c r="AX84" i="10"/>
  <c r="AU83" i="10"/>
  <c r="AR82" i="10"/>
  <c r="AO81" i="10"/>
  <c r="AL80" i="10"/>
  <c r="BD77" i="10"/>
  <c r="BA76" i="10"/>
  <c r="AX75" i="10"/>
  <c r="AU74" i="10"/>
  <c r="AR73" i="10"/>
  <c r="AO72" i="10"/>
  <c r="AL71" i="10"/>
  <c r="BD68" i="10"/>
  <c r="BA67" i="10"/>
  <c r="AX66" i="10"/>
  <c r="AU65" i="10"/>
  <c r="AR64" i="10"/>
  <c r="AO63" i="10"/>
  <c r="AL62" i="10"/>
  <c r="BD60" i="10"/>
  <c r="BA58" i="10"/>
  <c r="AX57" i="10"/>
  <c r="AU56" i="10"/>
  <c r="AR55" i="10"/>
  <c r="AO54" i="10"/>
  <c r="AL53" i="10"/>
  <c r="BD51" i="10"/>
  <c r="BA50" i="10"/>
  <c r="AX49" i="10"/>
  <c r="AT45" i="10"/>
  <c r="AQ44" i="10"/>
  <c r="AN43" i="10"/>
  <c r="AK42" i="10"/>
  <c r="BC40" i="10"/>
  <c r="AZ38" i="10"/>
  <c r="AW37" i="10"/>
  <c r="AT36" i="10"/>
  <c r="AQ35" i="10"/>
  <c r="AN34" i="10"/>
  <c r="AK33" i="10"/>
  <c r="BC30" i="10"/>
  <c r="AZ29" i="10"/>
  <c r="AW28" i="10"/>
  <c r="AT27" i="10"/>
  <c r="AQ26" i="10"/>
  <c r="AN24" i="10"/>
  <c r="AK23" i="10"/>
  <c r="BC21" i="10"/>
  <c r="AZ20" i="10"/>
  <c r="AW19" i="10"/>
  <c r="AT17" i="10"/>
  <c r="AT61" i="14"/>
  <c r="AK13" i="14"/>
  <c r="AN42" i="13"/>
  <c r="AX17" i="13"/>
  <c r="AR15" i="12"/>
  <c r="BD192" i="10"/>
  <c r="BE177" i="10"/>
  <c r="AT165" i="10"/>
  <c r="AZ158" i="10"/>
  <c r="AN154" i="10"/>
  <c r="AN150" i="10"/>
  <c r="AP147" i="10"/>
  <c r="AK144" i="10"/>
  <c r="AU141" i="10"/>
  <c r="AR138" i="10"/>
  <c r="AS136" i="10"/>
  <c r="BC134" i="10"/>
  <c r="AN133" i="10"/>
  <c r="AW131" i="10"/>
  <c r="BC129" i="10"/>
  <c r="AS128" i="10"/>
  <c r="BD126" i="10"/>
  <c r="AQ125" i="10"/>
  <c r="BB123" i="10"/>
  <c r="AR122" i="10"/>
  <c r="AZ119" i="10"/>
  <c r="AR118" i="10"/>
  <c r="AO117" i="10"/>
  <c r="AL116" i="10"/>
  <c r="BD114" i="10"/>
  <c r="BA113" i="10"/>
  <c r="AX112" i="10"/>
  <c r="AU111" i="10"/>
  <c r="AR110" i="10"/>
  <c r="AO109" i="10"/>
  <c r="AL108" i="10"/>
  <c r="BD106" i="10"/>
  <c r="BA105" i="10"/>
  <c r="AX104" i="10"/>
  <c r="AU103" i="10"/>
  <c r="AR102" i="10"/>
  <c r="AN98" i="10"/>
  <c r="AK97" i="10"/>
  <c r="BC95" i="10"/>
  <c r="AZ94" i="10"/>
  <c r="AW93" i="10"/>
  <c r="AT92" i="10"/>
  <c r="AQ91" i="10"/>
  <c r="AN90" i="10"/>
  <c r="AK88" i="10"/>
  <c r="BC86" i="10"/>
  <c r="AZ85" i="10"/>
  <c r="AW84" i="10"/>
  <c r="AT83" i="10"/>
  <c r="AQ82" i="10"/>
  <c r="AN81" i="10"/>
  <c r="AK80" i="10"/>
  <c r="BC77" i="10"/>
  <c r="AZ76" i="10"/>
  <c r="AW75" i="10"/>
  <c r="AT74" i="10"/>
  <c r="AQ73" i="10"/>
  <c r="AN72" i="10"/>
  <c r="AK71" i="10"/>
  <c r="BC68" i="10"/>
  <c r="AZ67" i="10"/>
  <c r="AW66" i="10"/>
  <c r="AT65" i="10"/>
  <c r="AQ64" i="10"/>
  <c r="AN63" i="10"/>
  <c r="AK62" i="10"/>
  <c r="BC60" i="10"/>
  <c r="AZ58" i="10"/>
  <c r="AW57" i="10"/>
  <c r="AT56" i="10"/>
  <c r="AQ55" i="10"/>
  <c r="AN54" i="10"/>
  <c r="AK53" i="10"/>
  <c r="BC51" i="10"/>
  <c r="AZ50" i="10"/>
  <c r="AW49" i="10"/>
  <c r="AS45" i="10"/>
  <c r="AP44" i="10"/>
  <c r="AM43" i="10"/>
  <c r="BE41" i="10"/>
  <c r="BB40" i="10"/>
  <c r="AY38" i="10"/>
  <c r="AV37" i="10"/>
  <c r="AS36" i="10"/>
  <c r="AP35" i="10"/>
  <c r="AM34" i="10"/>
  <c r="BE31" i="10"/>
  <c r="BB30" i="10"/>
  <c r="AY29" i="10"/>
  <c r="AV28" i="10"/>
  <c r="AT56" i="14"/>
  <c r="AK8" i="14"/>
  <c r="AT40" i="13"/>
  <c r="AR16" i="13"/>
  <c r="AT13" i="12"/>
  <c r="AZ191" i="10"/>
  <c r="BC176" i="10"/>
  <c r="AS165" i="10"/>
  <c r="AY158" i="10"/>
  <c r="AM154" i="10"/>
  <c r="AM150" i="10"/>
  <c r="AO147" i="10"/>
  <c r="BD143" i="10"/>
  <c r="AQ141" i="10"/>
  <c r="AQ138" i="10"/>
  <c r="AR136" i="10"/>
  <c r="BB134" i="10"/>
  <c r="AM133" i="10"/>
  <c r="AV131" i="10"/>
  <c r="BB129" i="10"/>
  <c r="AR128" i="10"/>
  <c r="BC126" i="10"/>
  <c r="AP125" i="10"/>
  <c r="BA123" i="10"/>
  <c r="AQ122" i="10"/>
  <c r="AY119" i="10"/>
  <c r="AQ118" i="10"/>
  <c r="AN117" i="10"/>
  <c r="AK116" i="10"/>
  <c r="BC114" i="10"/>
  <c r="AZ113" i="10"/>
  <c r="AW112" i="10"/>
  <c r="AT111" i="10"/>
  <c r="AQ110" i="10"/>
  <c r="AN109" i="10"/>
  <c r="AK108" i="10"/>
  <c r="BC106" i="10"/>
  <c r="AZ105" i="10"/>
  <c r="AW104" i="10"/>
  <c r="AT103" i="10"/>
  <c r="AQ102" i="10"/>
  <c r="AM98" i="10"/>
  <c r="BE96" i="10"/>
  <c r="BB95" i="10"/>
  <c r="AY94" i="10"/>
  <c r="AV93" i="10"/>
  <c r="AS92" i="10"/>
  <c r="AP91" i="10"/>
  <c r="AM90" i="10"/>
  <c r="BE87" i="10"/>
  <c r="BB86" i="10"/>
  <c r="AY85" i="10"/>
  <c r="AV84" i="10"/>
  <c r="AS83" i="10"/>
  <c r="AP82" i="10"/>
  <c r="AM81" i="10"/>
  <c r="BE78" i="10"/>
  <c r="BB77" i="10"/>
  <c r="AY76" i="10"/>
  <c r="AV75" i="10"/>
  <c r="AS74" i="10"/>
  <c r="AP73" i="10"/>
  <c r="AM72" i="10"/>
  <c r="BE70" i="10"/>
  <c r="BB68" i="10"/>
  <c r="AY67" i="10"/>
  <c r="AV66" i="10"/>
  <c r="AS65" i="10"/>
  <c r="AP64" i="10"/>
  <c r="AM63" i="10"/>
  <c r="BE61" i="10"/>
  <c r="BB60" i="10"/>
  <c r="AY58" i="10"/>
  <c r="AV57" i="10"/>
  <c r="AS56" i="10"/>
  <c r="AP55" i="10"/>
  <c r="AM54" i="10"/>
  <c r="BE52" i="10"/>
  <c r="BB51" i="10"/>
  <c r="AY50" i="10"/>
  <c r="AV49" i="10"/>
  <c r="AR45" i="10"/>
  <c r="AO44" i="10"/>
  <c r="AL43" i="10"/>
  <c r="BD41" i="10"/>
  <c r="BA40" i="10"/>
  <c r="AX38" i="10"/>
  <c r="AU37" i="10"/>
  <c r="AR36" i="10"/>
  <c r="AO35" i="10"/>
  <c r="AL34" i="10"/>
  <c r="BD31" i="10"/>
  <c r="BA30" i="10"/>
  <c r="AN56" i="14"/>
  <c r="AJ8" i="14"/>
  <c r="AS40" i="13"/>
  <c r="AP16" i="13"/>
  <c r="AS13" i="12"/>
  <c r="AY191" i="10"/>
  <c r="BB176" i="10"/>
  <c r="AY164" i="10"/>
  <c r="AT158" i="10"/>
  <c r="BC153" i="10"/>
  <c r="BE149" i="10"/>
  <c r="AK147" i="10"/>
  <c r="BC143" i="10"/>
  <c r="AM141" i="10"/>
  <c r="AP138" i="10"/>
  <c r="AQ136" i="10"/>
  <c r="BA134" i="10"/>
  <c r="AL133" i="10"/>
  <c r="AU131" i="10"/>
  <c r="BA129" i="10"/>
  <c r="AQ128" i="10"/>
  <c r="BB126" i="10"/>
  <c r="AO125" i="10"/>
  <c r="AZ123" i="10"/>
  <c r="AP122" i="10"/>
  <c r="AX119" i="10"/>
  <c r="AP118" i="10"/>
  <c r="AM117" i="10"/>
  <c r="BE115" i="10"/>
  <c r="BB114" i="10"/>
  <c r="AY113" i="10"/>
  <c r="AV112" i="10"/>
  <c r="AS111" i="10"/>
  <c r="AP110" i="10"/>
  <c r="AM109" i="10"/>
  <c r="BE107" i="10"/>
  <c r="BB106" i="10"/>
  <c r="AY105" i="10"/>
  <c r="AV104" i="10"/>
  <c r="AS103" i="10"/>
  <c r="AP102" i="10"/>
  <c r="AL98" i="10"/>
  <c r="BD96" i="10"/>
  <c r="BA95" i="10"/>
  <c r="AX94" i="10"/>
  <c r="AU93" i="10"/>
  <c r="AR92" i="10"/>
  <c r="AO91" i="10"/>
  <c r="AL90" i="10"/>
  <c r="BD87" i="10"/>
  <c r="BA86" i="10"/>
  <c r="AX85" i="10"/>
  <c r="AU84" i="10"/>
  <c r="AR83" i="10"/>
  <c r="AO82" i="10"/>
  <c r="AL81" i="10"/>
  <c r="BD78" i="10"/>
  <c r="BA77" i="10"/>
  <c r="AX76" i="10"/>
  <c r="AU75" i="10"/>
  <c r="AR74" i="10"/>
  <c r="AO73" i="10"/>
  <c r="AL72" i="10"/>
  <c r="BD70" i="10"/>
  <c r="BA68" i="10"/>
  <c r="AX67" i="10"/>
  <c r="AU66" i="10"/>
  <c r="AR65" i="10"/>
  <c r="AO64" i="10"/>
  <c r="AL63" i="10"/>
  <c r="BD61" i="10"/>
  <c r="BA60" i="10"/>
  <c r="AX58" i="10"/>
  <c r="AU57" i="10"/>
  <c r="AR56" i="10"/>
  <c r="AO55" i="10"/>
  <c r="AL54" i="10"/>
  <c r="BD52" i="10"/>
  <c r="BA51" i="10"/>
  <c r="AX50" i="10"/>
  <c r="AU49" i="10"/>
  <c r="AQ45" i="10"/>
  <c r="AN44" i="10"/>
  <c r="AK43" i="10"/>
  <c r="BC41" i="10"/>
  <c r="AZ40" i="10"/>
  <c r="AW38" i="10"/>
  <c r="AT37" i="10"/>
  <c r="AQ36" i="10"/>
  <c r="AN35" i="10"/>
  <c r="AK34" i="10"/>
  <c r="BC31" i="10"/>
  <c r="AZ30" i="10"/>
  <c r="AW29" i="10"/>
  <c r="AT28" i="10"/>
  <c r="AQ27" i="10"/>
  <c r="AN26" i="10"/>
  <c r="AK24" i="10"/>
  <c r="BC22" i="10"/>
  <c r="AZ21" i="10"/>
  <c r="AW20" i="10"/>
  <c r="AT19" i="10"/>
  <c r="AQ17" i="10"/>
  <c r="AY51" i="14"/>
  <c r="AN4" i="14"/>
  <c r="AQ37" i="13"/>
  <c r="BE14" i="13"/>
  <c r="AU11" i="12"/>
  <c r="AU190" i="10"/>
  <c r="AZ175" i="10"/>
  <c r="AQ164" i="10"/>
  <c r="AN158" i="10"/>
  <c r="AW153" i="10"/>
  <c r="AZ149" i="10"/>
  <c r="AZ146" i="10"/>
  <c r="BB143" i="10"/>
  <c r="AK141" i="10"/>
  <c r="AO138" i="10"/>
  <c r="AO136" i="10"/>
  <c r="AW134" i="10"/>
  <c r="BE132" i="10"/>
  <c r="AT131" i="10"/>
  <c r="AZ129" i="10"/>
  <c r="AO128" i="10"/>
  <c r="BA126" i="10"/>
  <c r="AN125" i="10"/>
  <c r="AX123" i="10"/>
  <c r="AO122" i="10"/>
  <c r="AW119" i="10"/>
  <c r="AO118" i="10"/>
  <c r="AL117" i="10"/>
  <c r="BD115" i="10"/>
  <c r="BA114" i="10"/>
  <c r="AX113" i="10"/>
  <c r="AU112" i="10"/>
  <c r="AR111" i="10"/>
  <c r="AO110" i="10"/>
  <c r="AL109" i="10"/>
  <c r="BD107" i="10"/>
  <c r="BA106" i="10"/>
  <c r="AX105" i="10"/>
  <c r="AU104" i="10"/>
  <c r="AR103" i="10"/>
  <c r="AO102" i="10"/>
  <c r="AK98" i="10"/>
  <c r="BC96" i="10"/>
  <c r="AZ95" i="10"/>
  <c r="AW94" i="10"/>
  <c r="AT93" i="10"/>
  <c r="AQ92" i="10"/>
  <c r="AN91" i="10"/>
  <c r="AK90" i="10"/>
  <c r="BC87" i="10"/>
  <c r="AZ86" i="10"/>
  <c r="AW85" i="10"/>
  <c r="AT84" i="10"/>
  <c r="AQ83" i="10"/>
  <c r="AN82" i="10"/>
  <c r="AK81" i="10"/>
  <c r="BC78" i="10"/>
  <c r="AZ77" i="10"/>
  <c r="AW76" i="10"/>
  <c r="AT75" i="10"/>
  <c r="AQ74" i="10"/>
  <c r="AN73" i="10"/>
  <c r="AK72" i="10"/>
  <c r="BC70" i="10"/>
  <c r="AZ68" i="10"/>
  <c r="AW67" i="10"/>
  <c r="AT66" i="10"/>
  <c r="AQ65" i="10"/>
  <c r="AN64" i="10"/>
  <c r="AK63" i="10"/>
  <c r="BC61" i="10"/>
  <c r="AZ60" i="10"/>
  <c r="AW58" i="10"/>
  <c r="AT57" i="10"/>
  <c r="AQ56" i="10"/>
  <c r="AN55" i="10"/>
  <c r="AK54" i="10"/>
  <c r="BC52" i="10"/>
  <c r="AZ51" i="10"/>
  <c r="AW50" i="10"/>
  <c r="AT49" i="10"/>
  <c r="AP45" i="10"/>
  <c r="AM44" i="10"/>
  <c r="BE42" i="10"/>
  <c r="BB41" i="10"/>
  <c r="AY40" i="10"/>
  <c r="AV38" i="10"/>
  <c r="AS37" i="10"/>
  <c r="AP36" i="10"/>
  <c r="AM35" i="10"/>
  <c r="BE33" i="10"/>
  <c r="BB31" i="10"/>
  <c r="AY30" i="10"/>
  <c r="AV29" i="10"/>
  <c r="AS28" i="10"/>
  <c r="AP27" i="10"/>
  <c r="AM26" i="10"/>
  <c r="BE23" i="10"/>
  <c r="AX51" i="14"/>
  <c r="AM4" i="14"/>
  <c r="AP37" i="13"/>
  <c r="BD14" i="13"/>
  <c r="AT11" i="12"/>
  <c r="AT190" i="10"/>
  <c r="AY175" i="10"/>
  <c r="AP164" i="10"/>
  <c r="AM158" i="10"/>
  <c r="AV153" i="10"/>
  <c r="AX149" i="10"/>
  <c r="AY146" i="10"/>
  <c r="BA143" i="10"/>
  <c r="BE139" i="10"/>
  <c r="AK138" i="10"/>
  <c r="AN136" i="10"/>
  <c r="AT134" i="10"/>
  <c r="BD132" i="10"/>
  <c r="AS131" i="10"/>
  <c r="AY129" i="10"/>
  <c r="AN128" i="10"/>
  <c r="AW126" i="10"/>
  <c r="AM125" i="10"/>
  <c r="AW123" i="10"/>
  <c r="AK122" i="10"/>
  <c r="AV119" i="10"/>
  <c r="AN118" i="10"/>
  <c r="AK117" i="10"/>
  <c r="BC115" i="10"/>
  <c r="AZ114" i="10"/>
  <c r="AW113" i="10"/>
  <c r="AT112" i="10"/>
  <c r="AQ111" i="10"/>
  <c r="AN110" i="10"/>
  <c r="AK109" i="10"/>
  <c r="BC107" i="10"/>
  <c r="AZ106" i="10"/>
  <c r="AW105" i="10"/>
  <c r="AT104" i="10"/>
  <c r="AQ103" i="10"/>
  <c r="AN102" i="10"/>
  <c r="BE97" i="10"/>
  <c r="BB96" i="10"/>
  <c r="AY95" i="10"/>
  <c r="AV94" i="10"/>
  <c r="AS93" i="10"/>
  <c r="AP92" i="10"/>
  <c r="AM91" i="10"/>
  <c r="BE88" i="10"/>
  <c r="BB87" i="10"/>
  <c r="AY86" i="10"/>
  <c r="AV85" i="10"/>
  <c r="AS84" i="10"/>
  <c r="AP83" i="10"/>
  <c r="AM82" i="10"/>
  <c r="BE80" i="10"/>
  <c r="BB78" i="10"/>
  <c r="AY77" i="10"/>
  <c r="AV76" i="10"/>
  <c r="AS75" i="10"/>
  <c r="AP74" i="10"/>
  <c r="AM73" i="10"/>
  <c r="BE71" i="10"/>
  <c r="BB70" i="10"/>
  <c r="AY68" i="10"/>
  <c r="AV67" i="10"/>
  <c r="AS66" i="10"/>
  <c r="AP65" i="10"/>
  <c r="AM64" i="10"/>
  <c r="BE62" i="10"/>
  <c r="BB61" i="10"/>
  <c r="AY60" i="10"/>
  <c r="AV58" i="10"/>
  <c r="AS57" i="10"/>
  <c r="AP56" i="10"/>
  <c r="AM55" i="10"/>
  <c r="BE53" i="10"/>
  <c r="BB52" i="10"/>
  <c r="AY51" i="10"/>
  <c r="AV50" i="10"/>
  <c r="AS49" i="10"/>
  <c r="AO45" i="10"/>
  <c r="AL44" i="10"/>
  <c r="BD42" i="10"/>
  <c r="BA41" i="10"/>
  <c r="AX40" i="10"/>
  <c r="AU38" i="10"/>
  <c r="AR37" i="10"/>
  <c r="AO36" i="10"/>
  <c r="AL35" i="10"/>
  <c r="BD33" i="10"/>
  <c r="BA31" i="10"/>
  <c r="AX30" i="10"/>
  <c r="AU29" i="10"/>
  <c r="AR28" i="10"/>
  <c r="AO27" i="10"/>
  <c r="AL26" i="10"/>
  <c r="BD23" i="10"/>
  <c r="BA22" i="10"/>
  <c r="AX21" i="10"/>
  <c r="AU20" i="10"/>
  <c r="AR19" i="10"/>
  <c r="AO17" i="10"/>
  <c r="AL16" i="10"/>
  <c r="BD14" i="10"/>
  <c r="BA13" i="10"/>
  <c r="AX12" i="10"/>
  <c r="AP48" i="14"/>
  <c r="BD70" i="13"/>
  <c r="AT35" i="13"/>
  <c r="AX13" i="13"/>
  <c r="AV9" i="12"/>
  <c r="AQ189" i="10"/>
  <c r="AW174" i="10"/>
  <c r="AV163" i="10"/>
  <c r="BE157" i="10"/>
  <c r="AS153" i="10"/>
  <c r="AW149" i="10"/>
  <c r="AV146" i="10"/>
  <c r="AW143" i="10"/>
  <c r="BB139" i="10"/>
  <c r="BB137" i="10"/>
  <c r="AM136" i="10"/>
  <c r="AS134" i="10"/>
  <c r="BC132" i="10"/>
  <c r="AR131" i="10"/>
  <c r="AX129" i="10"/>
  <c r="AM128" i="10"/>
  <c r="AV126" i="10"/>
  <c r="AL125" i="10"/>
  <c r="AV123" i="10"/>
  <c r="BE120" i="10"/>
  <c r="AU119" i="10"/>
  <c r="AM118" i="10"/>
  <c r="BE116" i="10"/>
  <c r="BB115" i="10"/>
  <c r="AY114" i="10"/>
  <c r="AV113" i="10"/>
  <c r="AS112" i="10"/>
  <c r="AP111" i="10"/>
  <c r="AM110" i="10"/>
  <c r="BE108" i="10"/>
  <c r="BB107" i="10"/>
  <c r="AY106" i="10"/>
  <c r="AV105" i="10"/>
  <c r="AS104" i="10"/>
  <c r="AP103" i="10"/>
  <c r="AM102" i="10"/>
  <c r="BD97" i="10"/>
  <c r="BA96" i="10"/>
  <c r="AX95" i="10"/>
  <c r="AU94" i="10"/>
  <c r="AR93" i="10"/>
  <c r="AO92" i="10"/>
  <c r="AL91" i="10"/>
  <c r="BD88" i="10"/>
  <c r="BA87" i="10"/>
  <c r="AX86" i="10"/>
  <c r="AU85" i="10"/>
  <c r="AR84" i="10"/>
  <c r="AO83" i="10"/>
  <c r="AL82" i="10"/>
  <c r="BD80" i="10"/>
  <c r="BA78" i="10"/>
  <c r="AX77" i="10"/>
  <c r="AU76" i="10"/>
  <c r="AR75" i="10"/>
  <c r="AO74" i="10"/>
  <c r="AL73" i="10"/>
  <c r="BD71" i="10"/>
  <c r="BA70" i="10"/>
  <c r="AX68" i="10"/>
  <c r="AU67" i="10"/>
  <c r="AR66" i="10"/>
  <c r="AO65" i="10"/>
  <c r="AL64" i="10"/>
  <c r="BD62" i="10"/>
  <c r="BA61" i="10"/>
  <c r="AX60" i="10"/>
  <c r="AU58" i="10"/>
  <c r="AR57" i="10"/>
  <c r="AO56" i="10"/>
  <c r="AL55" i="10"/>
  <c r="BD53" i="10"/>
  <c r="BA52" i="10"/>
  <c r="AX51" i="10"/>
  <c r="AU50" i="10"/>
  <c r="AR49" i="10"/>
  <c r="AN45" i="10"/>
  <c r="AK44" i="10"/>
  <c r="BC42" i="10"/>
  <c r="AZ41" i="10"/>
  <c r="AW40" i="10"/>
  <c r="AT38" i="10"/>
  <c r="AQ37" i="10"/>
  <c r="AN36" i="10"/>
  <c r="AK35" i="10"/>
  <c r="BC33" i="10"/>
  <c r="AZ31" i="10"/>
  <c r="AO48" i="14"/>
  <c r="BC70" i="13"/>
  <c r="AS35" i="13"/>
  <c r="AW13" i="13"/>
  <c r="AU9" i="12"/>
  <c r="AP189" i="10"/>
  <c r="AV174" i="10"/>
  <c r="AN163" i="10"/>
  <c r="AW157" i="10"/>
  <c r="AK153" i="10"/>
  <c r="AV149" i="10"/>
  <c r="AQ146" i="10"/>
  <c r="AQ143" i="10"/>
  <c r="BA139" i="10"/>
  <c r="BA137" i="10"/>
  <c r="AL136" i="10"/>
  <c r="AR134" i="10"/>
  <c r="BA132" i="10"/>
  <c r="AN131" i="10"/>
  <c r="AV129" i="10"/>
  <c r="AL128" i="10"/>
  <c r="AT126" i="10"/>
  <c r="BE124" i="10"/>
  <c r="AU123" i="10"/>
  <c r="BC120" i="10"/>
  <c r="AS119" i="10"/>
  <c r="AL118" i="10"/>
  <c r="BD116" i="10"/>
  <c r="BA115" i="10"/>
  <c r="AX114" i="10"/>
  <c r="AU113" i="10"/>
  <c r="AR112" i="10"/>
  <c r="AO111" i="10"/>
  <c r="AL110" i="10"/>
  <c r="BD108" i="10"/>
  <c r="BA107" i="10"/>
  <c r="AX106" i="10"/>
  <c r="AU105" i="10"/>
  <c r="AR104" i="10"/>
  <c r="AO103" i="10"/>
  <c r="AL102" i="10"/>
  <c r="BC97" i="10"/>
  <c r="AZ96" i="10"/>
  <c r="AW95" i="10"/>
  <c r="AT94" i="10"/>
  <c r="AQ93" i="10"/>
  <c r="AN92" i="10"/>
  <c r="AK91" i="10"/>
  <c r="BC88" i="10"/>
  <c r="AZ87" i="10"/>
  <c r="AW86" i="10"/>
  <c r="AT85" i="10"/>
  <c r="AQ84" i="10"/>
  <c r="AN83" i="10"/>
  <c r="AK82" i="10"/>
  <c r="BC80" i="10"/>
  <c r="AZ78" i="10"/>
  <c r="AW77" i="10"/>
  <c r="AT76" i="10"/>
  <c r="AQ75" i="10"/>
  <c r="AN74" i="10"/>
  <c r="AK73" i="10"/>
  <c r="BC71" i="10"/>
  <c r="AZ70" i="10"/>
  <c r="AW68" i="10"/>
  <c r="AT67" i="10"/>
  <c r="AQ66" i="10"/>
  <c r="AN65" i="10"/>
  <c r="AK64" i="10"/>
  <c r="BC62" i="10"/>
  <c r="AZ61" i="10"/>
  <c r="AW60" i="10"/>
  <c r="AT58" i="10"/>
  <c r="AQ57" i="10"/>
  <c r="AN56" i="10"/>
  <c r="AK55" i="10"/>
  <c r="BC53" i="10"/>
  <c r="AZ52" i="10"/>
  <c r="AW51" i="10"/>
  <c r="AT50" i="10"/>
  <c r="AQ49" i="10"/>
  <c r="AM45" i="10"/>
  <c r="BE43" i="10"/>
  <c r="BB42" i="10"/>
  <c r="AY41" i="10"/>
  <c r="AV40" i="10"/>
  <c r="AS38" i="10"/>
  <c r="AP37" i="10"/>
  <c r="AM36" i="10"/>
  <c r="BE34" i="10"/>
  <c r="BB33" i="10"/>
  <c r="AY31" i="10"/>
  <c r="AV30" i="10"/>
  <c r="AS29" i="10"/>
  <c r="AP28" i="10"/>
  <c r="AM27" i="10"/>
  <c r="BE24" i="10"/>
  <c r="BB23" i="10"/>
  <c r="AY22" i="10"/>
  <c r="AV21" i="10"/>
  <c r="BB44" i="14"/>
  <c r="AS67" i="13"/>
  <c r="BB33" i="13"/>
  <c r="AQ12" i="13"/>
  <c r="AW7" i="12"/>
  <c r="AN188" i="10"/>
  <c r="AT173" i="10"/>
  <c r="AM163" i="10"/>
  <c r="AV157" i="10"/>
  <c r="BE152" i="10"/>
  <c r="AU149" i="10"/>
  <c r="AO146" i="10"/>
  <c r="AP143" i="10"/>
  <c r="AZ139" i="10"/>
  <c r="AZ137" i="10"/>
  <c r="AK136" i="10"/>
  <c r="AQ134" i="10"/>
  <c r="AZ132" i="10"/>
  <c r="AK131" i="10"/>
  <c r="AU129" i="10"/>
  <c r="AK128" i="10"/>
  <c r="AS126" i="10"/>
  <c r="BD124" i="10"/>
  <c r="AT123" i="10"/>
  <c r="BB120" i="10"/>
  <c r="AR119" i="10"/>
  <c r="AK118" i="10"/>
  <c r="BC116" i="10"/>
  <c r="AZ115" i="10"/>
  <c r="AW114" i="10"/>
  <c r="AT113" i="10"/>
  <c r="AQ112" i="10"/>
  <c r="AN111" i="10"/>
  <c r="AK110" i="10"/>
  <c r="BC108" i="10"/>
  <c r="AZ107" i="10"/>
  <c r="AW106" i="10"/>
  <c r="AT105" i="10"/>
  <c r="AQ104" i="10"/>
  <c r="AN103" i="10"/>
  <c r="BE98" i="10"/>
  <c r="BB97" i="10"/>
  <c r="AY96" i="10"/>
  <c r="AV95" i="10"/>
  <c r="AS94" i="10"/>
  <c r="AP93" i="10"/>
  <c r="AM92" i="10"/>
  <c r="BE90" i="10"/>
  <c r="BB88" i="10"/>
  <c r="AY87" i="10"/>
  <c r="AV86" i="10"/>
  <c r="AS85" i="10"/>
  <c r="AP84" i="10"/>
  <c r="AM83" i="10"/>
  <c r="BE81" i="10"/>
  <c r="BB80" i="10"/>
  <c r="AY78" i="10"/>
  <c r="AV77" i="10"/>
  <c r="AS76" i="10"/>
  <c r="AP75" i="10"/>
  <c r="AM74" i="10"/>
  <c r="BE72" i="10"/>
  <c r="BB71" i="10"/>
  <c r="AY70" i="10"/>
  <c r="AV68" i="10"/>
  <c r="AS67" i="10"/>
  <c r="AP66" i="10"/>
  <c r="AM65" i="10"/>
  <c r="BE63" i="10"/>
  <c r="BB62" i="10"/>
  <c r="AY61" i="10"/>
  <c r="AV60" i="10"/>
  <c r="AS58" i="10"/>
  <c r="AP57" i="10"/>
  <c r="AM56" i="10"/>
  <c r="BE54" i="10"/>
  <c r="BB53" i="10"/>
  <c r="AY52" i="10"/>
  <c r="AV51" i="10"/>
  <c r="AS50" i="10"/>
  <c r="AP49" i="10"/>
  <c r="AL45" i="10"/>
  <c r="BD43" i="10"/>
  <c r="BA42" i="10"/>
  <c r="AX41" i="10"/>
  <c r="AU40" i="10"/>
  <c r="AR38" i="10"/>
  <c r="AO37" i="10"/>
  <c r="AL36" i="10"/>
  <c r="BD34" i="10"/>
  <c r="BA33" i="10"/>
  <c r="AX31" i="10"/>
  <c r="AU30" i="10"/>
  <c r="AR29" i="10"/>
  <c r="AO28" i="10"/>
  <c r="AL27" i="10"/>
  <c r="BD24" i="10"/>
  <c r="BA44" i="14"/>
  <c r="AR67" i="13"/>
  <c r="BA33" i="13"/>
  <c r="AO12" i="13"/>
  <c r="AV7" i="12"/>
  <c r="AM188" i="10"/>
  <c r="AS173" i="10"/>
  <c r="BC162" i="10"/>
  <c r="AQ157" i="10"/>
  <c r="AZ152" i="10"/>
  <c r="AQ149" i="10"/>
  <c r="AN146" i="10"/>
  <c r="AM143" i="10"/>
  <c r="AX139" i="10"/>
  <c r="AY137" i="10"/>
  <c r="BE135" i="10"/>
  <c r="AP134" i="10"/>
  <c r="AY132" i="10"/>
  <c r="BE130" i="10"/>
  <c r="AT129" i="10"/>
  <c r="BE127" i="10"/>
  <c r="AR126" i="10"/>
  <c r="BC124" i="10"/>
  <c r="AS123" i="10"/>
  <c r="BA120" i="10"/>
  <c r="AQ119" i="10"/>
  <c r="BE117" i="10"/>
  <c r="BB116" i="10"/>
  <c r="AY115" i="10"/>
  <c r="AV114" i="10"/>
  <c r="AS113" i="10"/>
  <c r="AP112" i="10"/>
  <c r="AM111" i="10"/>
  <c r="BE109" i="10"/>
  <c r="BB108" i="10"/>
  <c r="AY107" i="10"/>
  <c r="AV106" i="10"/>
  <c r="AS105" i="10"/>
  <c r="AP104" i="10"/>
  <c r="AM103" i="10"/>
  <c r="BD98" i="10"/>
  <c r="BA97" i="10"/>
  <c r="AX96" i="10"/>
  <c r="AU95" i="10"/>
  <c r="AR94" i="10"/>
  <c r="AO93" i="10"/>
  <c r="AL92" i="10"/>
  <c r="BD90" i="10"/>
  <c r="BA88" i="10"/>
  <c r="AX87" i="10"/>
  <c r="AU86" i="10"/>
  <c r="AR85" i="10"/>
  <c r="AO84" i="10"/>
  <c r="AL83" i="10"/>
  <c r="BD81" i="10"/>
  <c r="BA80" i="10"/>
  <c r="AX78" i="10"/>
  <c r="AU77" i="10"/>
  <c r="AR76" i="10"/>
  <c r="AO75" i="10"/>
  <c r="AL74" i="10"/>
  <c r="BD72" i="10"/>
  <c r="BA71" i="10"/>
  <c r="AX70" i="10"/>
  <c r="AU68" i="10"/>
  <c r="AR67" i="10"/>
  <c r="AO66" i="10"/>
  <c r="AL65" i="10"/>
  <c r="BD63" i="10"/>
  <c r="BA62" i="10"/>
  <c r="AX61" i="10"/>
  <c r="AU60" i="10"/>
  <c r="AR58" i="10"/>
  <c r="AO57" i="10"/>
  <c r="AL56" i="10"/>
  <c r="BD54" i="10"/>
  <c r="BA53" i="10"/>
  <c r="AX52" i="10"/>
  <c r="AU51" i="10"/>
  <c r="AR50" i="10"/>
  <c r="AO49" i="10"/>
  <c r="AK45" i="10"/>
  <c r="BC43" i="10"/>
  <c r="AZ42" i="10"/>
  <c r="AW41" i="10"/>
  <c r="AT40" i="10"/>
  <c r="AQ38" i="10"/>
  <c r="AN37" i="10"/>
  <c r="AK36" i="10"/>
  <c r="BC34" i="10"/>
  <c r="AZ33" i="10"/>
  <c r="AW31" i="10"/>
  <c r="AT30" i="10"/>
  <c r="AQ29" i="10"/>
  <c r="AN28" i="10"/>
  <c r="AK27" i="10"/>
  <c r="BC24" i="10"/>
  <c r="AZ23" i="10"/>
  <c r="AW22" i="10"/>
  <c r="AT21" i="10"/>
  <c r="AQ20" i="10"/>
  <c r="AN19" i="10"/>
  <c r="AQ38" i="14"/>
  <c r="BE64" i="13"/>
  <c r="BE30" i="13"/>
  <c r="AR8" i="13"/>
  <c r="AT5" i="12"/>
  <c r="BE186" i="10"/>
  <c r="AP172" i="10"/>
  <c r="AV162" i="10"/>
  <c r="BE156" i="10"/>
  <c r="AS152" i="10"/>
  <c r="BE148" i="10"/>
  <c r="AL146" i="10"/>
  <c r="BC142" i="10"/>
  <c r="AU139" i="10"/>
  <c r="AU137" i="10"/>
  <c r="AZ135" i="10"/>
  <c r="AM134" i="10"/>
  <c r="AW132" i="10"/>
  <c r="BC130" i="10"/>
  <c r="AQ129" i="10"/>
  <c r="AZ127" i="10"/>
  <c r="AP126" i="10"/>
  <c r="AZ124" i="10"/>
  <c r="AN123" i="10"/>
  <c r="AY120" i="10"/>
  <c r="AN119" i="10"/>
  <c r="BC117" i="10"/>
  <c r="AZ116" i="10"/>
  <c r="AW115" i="10"/>
  <c r="AT114" i="10"/>
  <c r="AQ113" i="10"/>
  <c r="AN112" i="10"/>
  <c r="AK111" i="10"/>
  <c r="BC109" i="10"/>
  <c r="AZ108" i="10"/>
  <c r="AW107" i="10"/>
  <c r="AT106" i="10"/>
  <c r="AQ105" i="10"/>
  <c r="AN104" i="10"/>
  <c r="AK103" i="10"/>
  <c r="BB98" i="10"/>
  <c r="AY97" i="10"/>
  <c r="AV96" i="10"/>
  <c r="AS95" i="10"/>
  <c r="AP94" i="10"/>
  <c r="AM93" i="10"/>
  <c r="BE91" i="10"/>
  <c r="BB90" i="10"/>
  <c r="AY88" i="10"/>
  <c r="AV87" i="10"/>
  <c r="AS86" i="10"/>
  <c r="AP85" i="10"/>
  <c r="AM84" i="10"/>
  <c r="BE82" i="10"/>
  <c r="BB81" i="10"/>
  <c r="AY80" i="10"/>
  <c r="AV78" i="10"/>
  <c r="AS77" i="10"/>
  <c r="AP76" i="10"/>
  <c r="AM75" i="10"/>
  <c r="BE73" i="10"/>
  <c r="BB72" i="10"/>
  <c r="AY71" i="10"/>
  <c r="AV70" i="10"/>
  <c r="AS68" i="10"/>
  <c r="AP67" i="10"/>
  <c r="AM66" i="10"/>
  <c r="BE64" i="10"/>
  <c r="BB63" i="10"/>
  <c r="AY62" i="10"/>
  <c r="AV61" i="10"/>
  <c r="AS60" i="10"/>
  <c r="AP58" i="10"/>
  <c r="AM57" i="10"/>
  <c r="BE55" i="10"/>
  <c r="BB54" i="10"/>
  <c r="AY53" i="10"/>
  <c r="AV52" i="10"/>
  <c r="AS51" i="10"/>
  <c r="AP50" i="10"/>
  <c r="AM49" i="10"/>
  <c r="BD44" i="10"/>
  <c r="BA43" i="10"/>
  <c r="AX42" i="10"/>
  <c r="AU41" i="10"/>
  <c r="AR40" i="10"/>
  <c r="AO38" i="10"/>
  <c r="AL37" i="10"/>
  <c r="BD35" i="10"/>
  <c r="BA34" i="10"/>
  <c r="AX33" i="10"/>
  <c r="AU31" i="10"/>
  <c r="AR30" i="10"/>
  <c r="AO29" i="10"/>
  <c r="AL28" i="10"/>
  <c r="BD26" i="10"/>
  <c r="BA24" i="10"/>
  <c r="AX23" i="10"/>
  <c r="AU22" i="10"/>
  <c r="AR21" i="10"/>
  <c r="AO20" i="10"/>
  <c r="AL19" i="10"/>
  <c r="BD16" i="10"/>
  <c r="BA15" i="10"/>
  <c r="AX14" i="10"/>
  <c r="AU13" i="10"/>
  <c r="AR12" i="10"/>
  <c r="BC33" i="14"/>
  <c r="AW61" i="13"/>
  <c r="AR29" i="13"/>
  <c r="AQ6" i="13"/>
  <c r="AU3" i="12"/>
  <c r="BB185" i="10"/>
  <c r="AM171" i="10"/>
  <c r="AK162" i="10"/>
  <c r="AT156" i="10"/>
  <c r="BC151" i="10"/>
  <c r="AW148" i="10"/>
  <c r="AW145" i="10"/>
  <c r="AZ142" i="10"/>
  <c r="AS139" i="10"/>
  <c r="AR137" i="10"/>
  <c r="AV135" i="10"/>
  <c r="AK134" i="10"/>
  <c r="AU132" i="10"/>
  <c r="BA130" i="10"/>
  <c r="AO129" i="10"/>
  <c r="AW127" i="10"/>
  <c r="AM126" i="10"/>
  <c r="AT30" i="14"/>
  <c r="AO59" i="13"/>
  <c r="AV27" i="13"/>
  <c r="AQ4" i="13"/>
  <c r="AT7" i="11"/>
  <c r="AY184" i="10"/>
  <c r="BE169" i="10"/>
  <c r="AZ161" i="10"/>
  <c r="AN156" i="10"/>
  <c r="AW151" i="10"/>
  <c r="AT148" i="10"/>
  <c r="AS145" i="10"/>
  <c r="AX142" i="10"/>
  <c r="AN139" i="10"/>
  <c r="AP137" i="10"/>
  <c r="AT135" i="10"/>
  <c r="BC133" i="10"/>
  <c r="AN132" i="10"/>
  <c r="AX130" i="10"/>
  <c r="AM129" i="10"/>
  <c r="AU127" i="10"/>
  <c r="AK126" i="10"/>
  <c r="AV124" i="10"/>
  <c r="BD122" i="10"/>
  <c r="AT120" i="10"/>
  <c r="BE118" i="10"/>
  <c r="AY117" i="10"/>
  <c r="AV116" i="10"/>
  <c r="AS115" i="10"/>
  <c r="AP114" i="10"/>
  <c r="AM113" i="10"/>
  <c r="BE111" i="10"/>
  <c r="BB110" i="10"/>
  <c r="AY109" i="10"/>
  <c r="AV108" i="10"/>
  <c r="AS107" i="10"/>
  <c r="AP106" i="10"/>
  <c r="AM105" i="10"/>
  <c r="BE103" i="10"/>
  <c r="BB102" i="10"/>
  <c r="AX98" i="10"/>
  <c r="AU97" i="10"/>
  <c r="AR96" i="10"/>
  <c r="AO95" i="10"/>
  <c r="AL94" i="10"/>
  <c r="BD92" i="10"/>
  <c r="BA91" i="10"/>
  <c r="AX90" i="10"/>
  <c r="AU88" i="10"/>
  <c r="AR87" i="10"/>
  <c r="AO86" i="10"/>
  <c r="AL85" i="10"/>
  <c r="BD83" i="10"/>
  <c r="BA82" i="10"/>
  <c r="AX81" i="10"/>
  <c r="AU80" i="10"/>
  <c r="AR78" i="10"/>
  <c r="AO77" i="10"/>
  <c r="AL76" i="10"/>
  <c r="BD74" i="10"/>
  <c r="BA73" i="10"/>
  <c r="AX72" i="10"/>
  <c r="AU71" i="10"/>
  <c r="AR70" i="10"/>
  <c r="AO68" i="10"/>
  <c r="AL67" i="10"/>
  <c r="BD65" i="10"/>
  <c r="BA64" i="10"/>
  <c r="AX63" i="10"/>
  <c r="AU62" i="10"/>
  <c r="AR61" i="10"/>
  <c r="AO60" i="10"/>
  <c r="AL58" i="10"/>
  <c r="BD56" i="10"/>
  <c r="BA55" i="10"/>
  <c r="AX54" i="10"/>
  <c r="AU53" i="10"/>
  <c r="AR52" i="10"/>
  <c r="AO51" i="10"/>
  <c r="AL50" i="10"/>
  <c r="BC45" i="10"/>
  <c r="AZ44" i="10"/>
  <c r="AW43" i="10"/>
  <c r="AT42" i="10"/>
  <c r="AQ41" i="10"/>
  <c r="AN40" i="10"/>
  <c r="AK38" i="10"/>
  <c r="BC36" i="10"/>
  <c r="AZ35" i="10"/>
  <c r="AW34" i="10"/>
  <c r="AT33" i="10"/>
  <c r="AQ31" i="10"/>
  <c r="AN30" i="10"/>
  <c r="AK29" i="10"/>
  <c r="BC27" i="10"/>
  <c r="AZ26" i="10"/>
  <c r="AW24" i="10"/>
  <c r="AR38" i="14"/>
  <c r="AK157" i="10"/>
  <c r="AO134" i="10"/>
  <c r="AK123" i="10"/>
  <c r="AR114" i="10"/>
  <c r="AU107" i="10"/>
  <c r="AW97" i="10"/>
  <c r="AZ90" i="10"/>
  <c r="BC82" i="10"/>
  <c r="AK75" i="10"/>
  <c r="AN67" i="10"/>
  <c r="AQ60" i="10"/>
  <c r="AT52" i="10"/>
  <c r="AV42" i="10"/>
  <c r="AY34" i="10"/>
  <c r="AK28" i="10"/>
  <c r="AY23" i="10"/>
  <c r="AP21" i="10"/>
  <c r="AK19" i="10"/>
  <c r="AM16" i="10"/>
  <c r="AU14" i="10"/>
  <c r="AY12" i="10"/>
  <c r="AN11" i="10"/>
  <c r="AW6" i="10"/>
  <c r="AS4" i="10"/>
  <c r="AQ8" i="9"/>
  <c r="AP6" i="9"/>
  <c r="AJ4" i="9"/>
  <c r="AR123" i="8"/>
  <c r="AL122" i="8"/>
  <c r="BA120" i="8"/>
  <c r="AU119" i="8"/>
  <c r="AO118" i="8"/>
  <c r="BD116" i="8"/>
  <c r="AU115" i="8"/>
  <c r="AO114" i="8"/>
  <c r="BD112" i="8"/>
  <c r="AX111" i="8"/>
  <c r="AS109" i="8"/>
  <c r="AO108" i="8"/>
  <c r="AL107" i="8"/>
  <c r="BD105" i="8"/>
  <c r="BA104" i="8"/>
  <c r="AX103" i="8"/>
  <c r="AU102" i="8"/>
  <c r="AR101" i="8"/>
  <c r="AO100" i="8"/>
  <c r="AL99" i="8"/>
  <c r="BD97" i="8"/>
  <c r="BA95" i="8"/>
  <c r="AX94" i="8"/>
  <c r="AU93" i="8"/>
  <c r="AR92" i="8"/>
  <c r="AO91" i="8"/>
  <c r="AL90" i="8"/>
  <c r="BD88" i="8"/>
  <c r="BA87" i="8"/>
  <c r="AX86" i="8"/>
  <c r="AU85" i="8"/>
  <c r="AR84" i="8"/>
  <c r="AO83" i="8"/>
  <c r="AL81" i="8"/>
  <c r="BD79" i="8"/>
  <c r="BA78" i="8"/>
  <c r="AX77" i="8"/>
  <c r="AU76" i="8"/>
  <c r="AR75" i="8"/>
  <c r="AO74" i="8"/>
  <c r="AL73" i="8"/>
  <c r="BD71" i="8"/>
  <c r="BA70" i="8"/>
  <c r="AX69" i="8"/>
  <c r="AU67" i="8"/>
  <c r="AR66" i="8"/>
  <c r="AO65" i="8"/>
  <c r="AL64" i="8"/>
  <c r="BD62" i="8"/>
  <c r="BA61" i="8"/>
  <c r="AX60" i="8"/>
  <c r="AU59" i="8"/>
  <c r="AR58" i="8"/>
  <c r="AO57" i="8"/>
  <c r="AL56" i="8"/>
  <c r="BD54" i="8"/>
  <c r="AZ50" i="8"/>
  <c r="AW49" i="8"/>
  <c r="AT48" i="8"/>
  <c r="AQ47" i="8"/>
  <c r="AN46" i="8"/>
  <c r="AK45" i="8"/>
  <c r="BC42" i="8"/>
  <c r="AZ41" i="8"/>
  <c r="AW40" i="8"/>
  <c r="AT39" i="8"/>
  <c r="AQ38" i="8"/>
  <c r="AN37" i="8"/>
  <c r="AK36" i="8"/>
  <c r="BC33" i="8"/>
  <c r="AZ32" i="8"/>
  <c r="AW31" i="8"/>
  <c r="AT30" i="8"/>
  <c r="AQ29" i="8"/>
  <c r="AN28" i="8"/>
  <c r="AK26" i="8"/>
  <c r="BC24" i="8"/>
  <c r="AZ23" i="8"/>
  <c r="AW22" i="8"/>
  <c r="AT21" i="8"/>
  <c r="AQ20" i="8"/>
  <c r="AN18" i="8"/>
  <c r="AK17" i="8"/>
  <c r="BC15" i="8"/>
  <c r="AZ14" i="8"/>
  <c r="AW13" i="8"/>
  <c r="AT12" i="8"/>
  <c r="AQ11" i="8"/>
  <c r="AS7" i="8"/>
  <c r="AW5" i="8"/>
  <c r="AM4" i="8"/>
  <c r="AP29" i="8"/>
  <c r="BB24" i="8"/>
  <c r="AV22" i="8"/>
  <c r="AP20" i="8"/>
  <c r="BE16" i="8"/>
  <c r="AY14" i="8"/>
  <c r="AS12" i="8"/>
  <c r="BD33" i="14"/>
  <c r="BB156" i="10"/>
  <c r="AL134" i="10"/>
  <c r="BE122" i="10"/>
  <c r="AQ114" i="10"/>
  <c r="AT107" i="10"/>
  <c r="AV97" i="10"/>
  <c r="AY90" i="10"/>
  <c r="BB82" i="10"/>
  <c r="BE74" i="10"/>
  <c r="AM67" i="10"/>
  <c r="AP60" i="10"/>
  <c r="AS52" i="10"/>
  <c r="AU42" i="10"/>
  <c r="AX34" i="10"/>
  <c r="BE27" i="10"/>
  <c r="AW23" i="10"/>
  <c r="AO21" i="10"/>
  <c r="BE17" i="10"/>
  <c r="AK16" i="10"/>
  <c r="AT14" i="10"/>
  <c r="AW12" i="10"/>
  <c r="AM11" i="10"/>
  <c r="AS6" i="10"/>
  <c r="AR4" i="10"/>
  <c r="AP8" i="9"/>
  <c r="AO6" i="9"/>
  <c r="AW3" i="9"/>
  <c r="AQ123" i="8"/>
  <c r="AK122" i="8"/>
  <c r="AZ120" i="8"/>
  <c r="AT119" i="8"/>
  <c r="AN118" i="8"/>
  <c r="BB116" i="8"/>
  <c r="AT115" i="8"/>
  <c r="AN114" i="8"/>
  <c r="BC112" i="8"/>
  <c r="AW111" i="8"/>
  <c r="AR109" i="8"/>
  <c r="AN108" i="8"/>
  <c r="AK107" i="8"/>
  <c r="BC105" i="8"/>
  <c r="AZ104" i="8"/>
  <c r="AW103" i="8"/>
  <c r="AT102" i="8"/>
  <c r="AQ101" i="8"/>
  <c r="AN100" i="8"/>
  <c r="AK99" i="8"/>
  <c r="BC97" i="8"/>
  <c r="AZ95" i="8"/>
  <c r="AW94" i="8"/>
  <c r="AT93" i="8"/>
  <c r="AQ92" i="8"/>
  <c r="AN91" i="8"/>
  <c r="AK90" i="8"/>
  <c r="BC88" i="8"/>
  <c r="AZ87" i="8"/>
  <c r="AW86" i="8"/>
  <c r="AT85" i="8"/>
  <c r="AQ84" i="8"/>
  <c r="AN83" i="8"/>
  <c r="AK81" i="8"/>
  <c r="BC79" i="8"/>
  <c r="AZ78" i="8"/>
  <c r="AW77" i="8"/>
  <c r="AT76" i="8"/>
  <c r="AQ75" i="8"/>
  <c r="AN74" i="8"/>
  <c r="AK73" i="8"/>
  <c r="BC71" i="8"/>
  <c r="AZ70" i="8"/>
  <c r="AW69" i="8"/>
  <c r="AT67" i="8"/>
  <c r="AQ66" i="8"/>
  <c r="AN65" i="8"/>
  <c r="AK64" i="8"/>
  <c r="BC62" i="8"/>
  <c r="AZ61" i="8"/>
  <c r="AW60" i="8"/>
  <c r="AT59" i="8"/>
  <c r="AQ58" i="8"/>
  <c r="AN57" i="8"/>
  <c r="AK56" i="8"/>
  <c r="BC54" i="8"/>
  <c r="AY50" i="8"/>
  <c r="AV49" i="8"/>
  <c r="AS48" i="8"/>
  <c r="AP47" i="8"/>
  <c r="AM46" i="8"/>
  <c r="BE44" i="8"/>
  <c r="BB42" i="8"/>
  <c r="AY41" i="8"/>
  <c r="AV40" i="8"/>
  <c r="AS39" i="8"/>
  <c r="AP38" i="8"/>
  <c r="AM37" i="8"/>
  <c r="BE34" i="8"/>
  <c r="BB33" i="8"/>
  <c r="AY32" i="8"/>
  <c r="AV31" i="8"/>
  <c r="AS30" i="8"/>
  <c r="AM28" i="8"/>
  <c r="BE25" i="8"/>
  <c r="AY23" i="8"/>
  <c r="AS21" i="8"/>
  <c r="AM18" i="8"/>
  <c r="BB15" i="8"/>
  <c r="AV13" i="8"/>
  <c r="AU30" i="14"/>
  <c r="AS156" i="10"/>
  <c r="BD133" i="10"/>
  <c r="AZ120" i="10"/>
  <c r="AR113" i="10"/>
  <c r="AU106" i="10"/>
  <c r="AW96" i="10"/>
  <c r="AZ88" i="10"/>
  <c r="BC81" i="10"/>
  <c r="AK74" i="10"/>
  <c r="AN66" i="10"/>
  <c r="AQ58" i="10"/>
  <c r="AT51" i="10"/>
  <c r="AV41" i="10"/>
  <c r="AY33" i="10"/>
  <c r="BD27" i="10"/>
  <c r="AV23" i="10"/>
  <c r="AN21" i="10"/>
  <c r="BD17" i="10"/>
  <c r="BE15" i="10"/>
  <c r="AP14" i="10"/>
  <c r="AV12" i="10"/>
  <c r="AL11" i="10"/>
  <c r="AR6" i="10"/>
  <c r="AQ4" i="10"/>
  <c r="AO8" i="9"/>
  <c r="AN6" i="9"/>
  <c r="AV3" i="9"/>
  <c r="AP123" i="8"/>
  <c r="BE121" i="8"/>
  <c r="AY120" i="8"/>
  <c r="AS119" i="8"/>
  <c r="AM118" i="8"/>
  <c r="BA116" i="8"/>
  <c r="AS115" i="8"/>
  <c r="AM114" i="8"/>
  <c r="BB112" i="8"/>
  <c r="AV111" i="8"/>
  <c r="AQ109" i="8"/>
  <c r="AM108" i="8"/>
  <c r="BE106" i="8"/>
  <c r="BB105" i="8"/>
  <c r="AY104" i="8"/>
  <c r="AV103" i="8"/>
  <c r="AS102" i="8"/>
  <c r="AP101" i="8"/>
  <c r="AM100" i="8"/>
  <c r="BE98" i="8"/>
  <c r="BB97" i="8"/>
  <c r="AY95" i="8"/>
  <c r="AV94" i="8"/>
  <c r="AS93" i="8"/>
  <c r="AP92" i="8"/>
  <c r="AM91" i="8"/>
  <c r="BE89" i="8"/>
  <c r="BB88" i="8"/>
  <c r="AY87" i="8"/>
  <c r="AV86" i="8"/>
  <c r="AS85" i="8"/>
  <c r="AP84" i="8"/>
  <c r="AM83" i="8"/>
  <c r="BE80" i="8"/>
  <c r="BB79" i="8"/>
  <c r="AY78" i="8"/>
  <c r="AV77" i="8"/>
  <c r="AS76" i="8"/>
  <c r="AP75" i="8"/>
  <c r="AM74" i="8"/>
  <c r="BE72" i="8"/>
  <c r="BB71" i="8"/>
  <c r="AY70" i="8"/>
  <c r="AV69" i="8"/>
  <c r="AS67" i="8"/>
  <c r="AP66" i="8"/>
  <c r="AM65" i="8"/>
  <c r="BE63" i="8"/>
  <c r="BB62" i="8"/>
  <c r="AY61" i="8"/>
  <c r="AV60" i="8"/>
  <c r="AS59" i="8"/>
  <c r="AP58" i="8"/>
  <c r="AM57" i="8"/>
  <c r="BE55" i="8"/>
  <c r="BB54" i="8"/>
  <c r="AX50" i="8"/>
  <c r="AU49" i="8"/>
  <c r="AR48" i="8"/>
  <c r="AO47" i="8"/>
  <c r="AL46" i="8"/>
  <c r="BD44" i="8"/>
  <c r="BA42" i="8"/>
  <c r="AX41" i="8"/>
  <c r="AU40" i="8"/>
  <c r="AR39" i="8"/>
  <c r="AO38" i="8"/>
  <c r="AL37" i="8"/>
  <c r="BD34" i="8"/>
  <c r="BA33" i="8"/>
  <c r="AX32" i="8"/>
  <c r="AU31" i="8"/>
  <c r="AR30" i="8"/>
  <c r="AO29" i="8"/>
  <c r="AL28" i="8"/>
  <c r="BD25" i="8"/>
  <c r="BA24" i="8"/>
  <c r="AX23" i="8"/>
  <c r="AU22" i="8"/>
  <c r="AR21" i="8"/>
  <c r="AO20" i="8"/>
  <c r="AK65" i="13"/>
  <c r="AT152" i="10"/>
  <c r="AX132" i="10"/>
  <c r="AX120" i="10"/>
  <c r="AP113" i="10"/>
  <c r="AS106" i="10"/>
  <c r="AU96" i="10"/>
  <c r="AX88" i="10"/>
  <c r="BA81" i="10"/>
  <c r="BD73" i="10"/>
  <c r="AL66" i="10"/>
  <c r="AO58" i="10"/>
  <c r="AR51" i="10"/>
  <c r="AT41" i="10"/>
  <c r="AW33" i="10"/>
  <c r="AY27" i="10"/>
  <c r="AU23" i="10"/>
  <c r="BE20" i="10"/>
  <c r="BC17" i="10"/>
  <c r="BD15" i="10"/>
  <c r="AL14" i="10"/>
  <c r="AU12" i="10"/>
  <c r="AW8" i="10"/>
  <c r="AQ6" i="10"/>
  <c r="AP4" i="10"/>
  <c r="AN8" i="9"/>
  <c r="AL6" i="9"/>
  <c r="AU3" i="9"/>
  <c r="AO123" i="8"/>
  <c r="BD121" i="8"/>
  <c r="AX120" i="8"/>
  <c r="AR119" i="8"/>
  <c r="AL118" i="8"/>
  <c r="AX116" i="8"/>
  <c r="AR115" i="8"/>
  <c r="AL114" i="8"/>
  <c r="BA112" i="8"/>
  <c r="AU111" i="8"/>
  <c r="AP109" i="8"/>
  <c r="AL108" i="8"/>
  <c r="BD106" i="8"/>
  <c r="BA105" i="8"/>
  <c r="AX104" i="8"/>
  <c r="AU103" i="8"/>
  <c r="AR102" i="8"/>
  <c r="AO101" i="8"/>
  <c r="AL100" i="8"/>
  <c r="BD98" i="8"/>
  <c r="BA97" i="8"/>
  <c r="AX95" i="8"/>
  <c r="AU94" i="8"/>
  <c r="AR93" i="8"/>
  <c r="AO92" i="8"/>
  <c r="AL91" i="8"/>
  <c r="BD89" i="8"/>
  <c r="BA88" i="8"/>
  <c r="AX87" i="8"/>
  <c r="AU86" i="8"/>
  <c r="AR85" i="8"/>
  <c r="AO84" i="8"/>
  <c r="AL83" i="8"/>
  <c r="BD80" i="8"/>
  <c r="BA79" i="8"/>
  <c r="AX78" i="8"/>
  <c r="AU77" i="8"/>
  <c r="AR76" i="8"/>
  <c r="AO75" i="8"/>
  <c r="AL74" i="8"/>
  <c r="BD72" i="8"/>
  <c r="BA71" i="8"/>
  <c r="AX70" i="8"/>
  <c r="AU69" i="8"/>
  <c r="AR67" i="8"/>
  <c r="AO66" i="8"/>
  <c r="AL65" i="8"/>
  <c r="BD63" i="8"/>
  <c r="BA62" i="8"/>
  <c r="AX61" i="8"/>
  <c r="AU60" i="8"/>
  <c r="AR59" i="8"/>
  <c r="AO58" i="8"/>
  <c r="AL57" i="8"/>
  <c r="BD55" i="8"/>
  <c r="BA54" i="8"/>
  <c r="AW50" i="8"/>
  <c r="AT49" i="8"/>
  <c r="AQ48" i="8"/>
  <c r="AN47" i="8"/>
  <c r="AK46" i="8"/>
  <c r="BC44" i="8"/>
  <c r="AZ42" i="8"/>
  <c r="AW41" i="8"/>
  <c r="AT40" i="8"/>
  <c r="AQ39" i="8"/>
  <c r="AN38" i="8"/>
  <c r="AK37" i="8"/>
  <c r="BC34" i="8"/>
  <c r="AZ33" i="8"/>
  <c r="AW32" i="8"/>
  <c r="AT31" i="8"/>
  <c r="AQ30" i="8"/>
  <c r="AN29" i="8"/>
  <c r="AK28" i="8"/>
  <c r="BC25" i="8"/>
  <c r="AZ24" i="8"/>
  <c r="AW23" i="8"/>
  <c r="AT22" i="8"/>
  <c r="AQ21" i="8"/>
  <c r="AN20" i="8"/>
  <c r="AK18" i="8"/>
  <c r="BC16" i="8"/>
  <c r="AZ15" i="8"/>
  <c r="AW14" i="8"/>
  <c r="AT13" i="8"/>
  <c r="AQ12" i="8"/>
  <c r="AN11" i="8"/>
  <c r="AP7" i="8"/>
  <c r="AT5" i="8"/>
  <c r="AJ4" i="8"/>
  <c r="AM11" i="8"/>
  <c r="AS5" i="8"/>
  <c r="AR31" i="8"/>
  <c r="BA25" i="8"/>
  <c r="AO21" i="8"/>
  <c r="BA16" i="8"/>
  <c r="AR13" i="8"/>
  <c r="AX61" i="13"/>
  <c r="AP152" i="10"/>
  <c r="AV132" i="10"/>
  <c r="AV120" i="10"/>
  <c r="AO113" i="10"/>
  <c r="AR106" i="10"/>
  <c r="AT96" i="10"/>
  <c r="AW88" i="10"/>
  <c r="AZ81" i="10"/>
  <c r="BC73" i="10"/>
  <c r="AK66" i="10"/>
  <c r="AN58" i="10"/>
  <c r="AQ51" i="10"/>
  <c r="AS41" i="10"/>
  <c r="AV33" i="10"/>
  <c r="AS27" i="10"/>
  <c r="AT23" i="10"/>
  <c r="AY20" i="10"/>
  <c r="AY17" i="10"/>
  <c r="BC15" i="10"/>
  <c r="AK14" i="10"/>
  <c r="AT12" i="10"/>
  <c r="AU8" i="10"/>
  <c r="AP6" i="10"/>
  <c r="AO4" i="10"/>
  <c r="AM8" i="9"/>
  <c r="AJ6" i="9"/>
  <c r="AT3" i="9"/>
  <c r="AN123" i="8"/>
  <c r="BC121" i="8"/>
  <c r="AW120" i="8"/>
  <c r="AQ119" i="8"/>
  <c r="BE117" i="8"/>
  <c r="AW116" i="8"/>
  <c r="AQ115" i="8"/>
  <c r="AK114" i="8"/>
  <c r="AZ112" i="8"/>
  <c r="AT111" i="8"/>
  <c r="AO109" i="8"/>
  <c r="AK108" i="8"/>
  <c r="BC106" i="8"/>
  <c r="AZ105" i="8"/>
  <c r="AW104" i="8"/>
  <c r="AT103" i="8"/>
  <c r="AQ102" i="8"/>
  <c r="AN101" i="8"/>
  <c r="AK100" i="8"/>
  <c r="BC98" i="8"/>
  <c r="AZ97" i="8"/>
  <c r="AW95" i="8"/>
  <c r="AT94" i="8"/>
  <c r="AQ93" i="8"/>
  <c r="AN92" i="8"/>
  <c r="AK91" i="8"/>
  <c r="BC89" i="8"/>
  <c r="AZ88" i="8"/>
  <c r="AW87" i="8"/>
  <c r="AT86" i="8"/>
  <c r="AQ85" i="8"/>
  <c r="AN84" i="8"/>
  <c r="AK83" i="8"/>
  <c r="BC80" i="8"/>
  <c r="AZ79" i="8"/>
  <c r="AW78" i="8"/>
  <c r="AT77" i="8"/>
  <c r="AQ76" i="8"/>
  <c r="AN75" i="8"/>
  <c r="AK74" i="8"/>
  <c r="BC72" i="8"/>
  <c r="AZ71" i="8"/>
  <c r="AW70" i="8"/>
  <c r="AT69" i="8"/>
  <c r="AQ67" i="8"/>
  <c r="AN66" i="8"/>
  <c r="AK65" i="8"/>
  <c r="BC63" i="8"/>
  <c r="AZ62" i="8"/>
  <c r="AW61" i="8"/>
  <c r="AT60" i="8"/>
  <c r="AQ59" i="8"/>
  <c r="AN58" i="8"/>
  <c r="AK57" i="8"/>
  <c r="BC55" i="8"/>
  <c r="AZ54" i="8"/>
  <c r="AV50" i="8"/>
  <c r="AS49" i="8"/>
  <c r="AP48" i="8"/>
  <c r="AM47" i="8"/>
  <c r="BE45" i="8"/>
  <c r="BB44" i="8"/>
  <c r="AY42" i="8"/>
  <c r="AV41" i="8"/>
  <c r="AS40" i="8"/>
  <c r="AP39" i="8"/>
  <c r="AM38" i="8"/>
  <c r="BE36" i="8"/>
  <c r="BB34" i="8"/>
  <c r="AY33" i="8"/>
  <c r="AV32" i="8"/>
  <c r="AS31" i="8"/>
  <c r="AP30" i="8"/>
  <c r="AM29" i="8"/>
  <c r="BE26" i="8"/>
  <c r="BB25" i="8"/>
  <c r="AY24" i="8"/>
  <c r="AV23" i="8"/>
  <c r="AS22" i="8"/>
  <c r="AP21" i="8"/>
  <c r="AM20" i="8"/>
  <c r="BE17" i="8"/>
  <c r="BB16" i="8"/>
  <c r="AY15" i="8"/>
  <c r="AV14" i="8"/>
  <c r="AS13" i="8"/>
  <c r="AP12" i="8"/>
  <c r="AO7" i="8"/>
  <c r="AW3" i="8"/>
  <c r="AL29" i="8"/>
  <c r="AX24" i="8"/>
  <c r="AR22" i="8"/>
  <c r="BD17" i="8"/>
  <c r="AU14" i="8"/>
  <c r="AP59" i="13"/>
  <c r="BB151" i="10"/>
  <c r="AQ132" i="10"/>
  <c r="AU120" i="10"/>
  <c r="AN113" i="10"/>
  <c r="AQ106" i="10"/>
  <c r="AS96" i="10"/>
  <c r="AV88" i="10"/>
  <c r="AY81" i="10"/>
  <c r="BB73" i="10"/>
  <c r="BE65" i="10"/>
  <c r="AM58" i="10"/>
  <c r="AP51" i="10"/>
  <c r="AR41" i="10"/>
  <c r="AU33" i="10"/>
  <c r="AR27" i="10"/>
  <c r="AP23" i="10"/>
  <c r="AX20" i="10"/>
  <c r="AU17" i="10"/>
  <c r="BB15" i="10"/>
  <c r="BE13" i="10"/>
  <c r="AS12" i="10"/>
  <c r="AS8" i="10"/>
  <c r="AO6" i="10"/>
  <c r="AN4" i="10"/>
  <c r="AL8" i="9"/>
  <c r="AT5" i="9"/>
  <c r="AS3" i="9"/>
  <c r="AM123" i="8"/>
  <c r="BB121" i="8"/>
  <c r="AV120" i="8"/>
  <c r="AP119" i="8"/>
  <c r="BD117" i="8"/>
  <c r="AV116" i="8"/>
  <c r="AP115" i="8"/>
  <c r="BE113" i="8"/>
  <c r="AY112" i="8"/>
  <c r="AS111" i="8"/>
  <c r="AN109" i="8"/>
  <c r="BE107" i="8"/>
  <c r="BB106" i="8"/>
  <c r="AY105" i="8"/>
  <c r="AV104" i="8"/>
  <c r="AS103" i="8"/>
  <c r="AP102" i="8"/>
  <c r="AM101" i="8"/>
  <c r="BE99" i="8"/>
  <c r="BB98" i="8"/>
  <c r="AY97" i="8"/>
  <c r="AV95" i="8"/>
  <c r="AS94" i="8"/>
  <c r="AP93" i="8"/>
  <c r="AM92" i="8"/>
  <c r="BE90" i="8"/>
  <c r="BB89" i="8"/>
  <c r="AY88" i="8"/>
  <c r="AV87" i="8"/>
  <c r="AS86" i="8"/>
  <c r="AP85" i="8"/>
  <c r="AM84" i="8"/>
  <c r="BE81" i="8"/>
  <c r="BB80" i="8"/>
  <c r="AY79" i="8"/>
  <c r="AV78" i="8"/>
  <c r="AS77" i="8"/>
  <c r="AP76" i="8"/>
  <c r="AM75" i="8"/>
  <c r="BE73" i="8"/>
  <c r="BB72" i="8"/>
  <c r="AY71" i="8"/>
  <c r="AV70" i="8"/>
  <c r="AS69" i="8"/>
  <c r="AP67" i="8"/>
  <c r="AM66" i="8"/>
  <c r="BE64" i="8"/>
  <c r="BB63" i="8"/>
  <c r="AY62" i="8"/>
  <c r="AV61" i="8"/>
  <c r="AS60" i="8"/>
  <c r="AP59" i="8"/>
  <c r="AM58" i="8"/>
  <c r="BE56" i="8"/>
  <c r="BB55" i="8"/>
  <c r="AY54" i="8"/>
  <c r="AU50" i="8"/>
  <c r="AR49" i="8"/>
  <c r="AO48" i="8"/>
  <c r="AL47" i="8"/>
  <c r="BD45" i="8"/>
  <c r="BA44" i="8"/>
  <c r="AX42" i="8"/>
  <c r="AU41" i="8"/>
  <c r="AR40" i="8"/>
  <c r="AO39" i="8"/>
  <c r="AL38" i="8"/>
  <c r="BD36" i="8"/>
  <c r="BA34" i="8"/>
  <c r="AX33" i="8"/>
  <c r="AU32" i="8"/>
  <c r="AO30" i="8"/>
  <c r="BD26" i="8"/>
  <c r="AU23" i="8"/>
  <c r="AL20" i="8"/>
  <c r="AX15" i="8"/>
  <c r="AK31" i="13"/>
  <c r="AK149" i="10"/>
  <c r="BD130" i="10"/>
  <c r="AO119" i="10"/>
  <c r="AO112" i="10"/>
  <c r="AR105" i="10"/>
  <c r="AT95" i="10"/>
  <c r="AW87" i="10"/>
  <c r="AZ80" i="10"/>
  <c r="BC72" i="10"/>
  <c r="AK65" i="10"/>
  <c r="AN57" i="10"/>
  <c r="AQ50" i="10"/>
  <c r="AS40" i="10"/>
  <c r="AV31" i="10"/>
  <c r="AN27" i="10"/>
  <c r="BE22" i="10"/>
  <c r="AV20" i="10"/>
  <c r="AS17" i="10"/>
  <c r="AZ15" i="10"/>
  <c r="BD13" i="10"/>
  <c r="AQ12" i="10"/>
  <c r="AO8" i="10"/>
  <c r="AN6" i="10"/>
  <c r="AM4" i="10"/>
  <c r="AK8" i="9"/>
  <c r="AS5" i="9"/>
  <c r="AR3" i="9"/>
  <c r="AL123" i="8"/>
  <c r="BA121" i="8"/>
  <c r="AU120" i="8"/>
  <c r="AO119" i="8"/>
  <c r="BA117" i="8"/>
  <c r="AU116" i="8"/>
  <c r="AO115" i="8"/>
  <c r="BD113" i="8"/>
  <c r="AX112" i="8"/>
  <c r="AR111" i="8"/>
  <c r="AM109" i="8"/>
  <c r="BD107" i="8"/>
  <c r="BA106" i="8"/>
  <c r="AX105" i="8"/>
  <c r="AU104" i="8"/>
  <c r="AR103" i="8"/>
  <c r="AO102" i="8"/>
  <c r="AL101" i="8"/>
  <c r="BD99" i="8"/>
  <c r="BA98" i="8"/>
  <c r="AX97" i="8"/>
  <c r="AU95" i="8"/>
  <c r="AR94" i="8"/>
  <c r="AO93" i="8"/>
  <c r="AL92" i="8"/>
  <c r="BD90" i="8"/>
  <c r="BA89" i="8"/>
  <c r="AX88" i="8"/>
  <c r="AU87" i="8"/>
  <c r="AR86" i="8"/>
  <c r="AO85" i="8"/>
  <c r="AL84" i="8"/>
  <c r="BD81" i="8"/>
  <c r="BA80" i="8"/>
  <c r="AX79" i="8"/>
  <c r="AU78" i="8"/>
  <c r="AR77" i="8"/>
  <c r="AO76" i="8"/>
  <c r="AL75" i="8"/>
  <c r="BD73" i="8"/>
  <c r="BA72" i="8"/>
  <c r="AX71" i="8"/>
  <c r="AU70" i="8"/>
  <c r="AR69" i="8"/>
  <c r="AO67" i="8"/>
  <c r="AL66" i="8"/>
  <c r="BD64" i="8"/>
  <c r="BA63" i="8"/>
  <c r="AX62" i="8"/>
  <c r="AU61" i="8"/>
  <c r="AR60" i="8"/>
  <c r="AO59" i="8"/>
  <c r="AL58" i="8"/>
  <c r="BD56" i="8"/>
  <c r="BA55" i="8"/>
  <c r="AX54" i="8"/>
  <c r="AT50" i="8"/>
  <c r="AQ49" i="8"/>
  <c r="AN48" i="8"/>
  <c r="AK47" i="8"/>
  <c r="BC45" i="8"/>
  <c r="AZ44" i="8"/>
  <c r="AW42" i="8"/>
  <c r="AT41" i="8"/>
  <c r="AQ40" i="8"/>
  <c r="AN39" i="8"/>
  <c r="AK38" i="8"/>
  <c r="BC36" i="8"/>
  <c r="AZ34" i="8"/>
  <c r="AW33" i="8"/>
  <c r="AT32" i="8"/>
  <c r="AQ31" i="8"/>
  <c r="AN30" i="8"/>
  <c r="AK29" i="8"/>
  <c r="BC26" i="8"/>
  <c r="AZ25" i="8"/>
  <c r="AW24" i="8"/>
  <c r="AT23" i="8"/>
  <c r="AQ22" i="8"/>
  <c r="AN21" i="8"/>
  <c r="AK20" i="8"/>
  <c r="BC17" i="8"/>
  <c r="AZ16" i="8"/>
  <c r="AW15" i="8"/>
  <c r="AT14" i="8"/>
  <c r="AQ13" i="8"/>
  <c r="AN12" i="8"/>
  <c r="AW8" i="8"/>
  <c r="AM7" i="8"/>
  <c r="AQ5" i="8"/>
  <c r="AU3" i="8"/>
  <c r="AW54" i="8"/>
  <c r="BE46" i="8"/>
  <c r="AY44" i="8"/>
  <c r="AV42" i="8"/>
  <c r="AP40" i="8"/>
  <c r="BE37" i="8"/>
  <c r="AY34" i="8"/>
  <c r="AV33" i="8"/>
  <c r="AS29" i="13"/>
  <c r="BB148" i="10"/>
  <c r="BB130" i="10"/>
  <c r="AM119" i="10"/>
  <c r="AM112" i="10"/>
  <c r="AP105" i="10"/>
  <c r="AR95" i="10"/>
  <c r="AU87" i="10"/>
  <c r="AX80" i="10"/>
  <c r="BA72" i="10"/>
  <c r="BD64" i="10"/>
  <c r="AL57" i="10"/>
  <c r="AO50" i="10"/>
  <c r="AQ40" i="10"/>
  <c r="AT31" i="10"/>
  <c r="BE26" i="10"/>
  <c r="BD22" i="10"/>
  <c r="AT20" i="10"/>
  <c r="AR17" i="10"/>
  <c r="AY15" i="10"/>
  <c r="BC13" i="10"/>
  <c r="AP12" i="10"/>
  <c r="AN8" i="10"/>
  <c r="AM6" i="10"/>
  <c r="AL4" i="10"/>
  <c r="AJ8" i="9"/>
  <c r="AR5" i="9"/>
  <c r="AQ3" i="9"/>
  <c r="AK123" i="8"/>
  <c r="AZ121" i="8"/>
  <c r="AT120" i="8"/>
  <c r="AM119" i="8"/>
  <c r="AZ117" i="8"/>
  <c r="AT116" i="8"/>
  <c r="AN115" i="8"/>
  <c r="BC113" i="8"/>
  <c r="AW112" i="8"/>
  <c r="AQ111" i="8"/>
  <c r="AL109" i="8"/>
  <c r="BC107" i="8"/>
  <c r="AZ106" i="8"/>
  <c r="AW105" i="8"/>
  <c r="AT104" i="8"/>
  <c r="AQ103" i="8"/>
  <c r="AN102" i="8"/>
  <c r="AK101" i="8"/>
  <c r="BC99" i="8"/>
  <c r="AZ98" i="8"/>
  <c r="AW97" i="8"/>
  <c r="AT95" i="8"/>
  <c r="AQ94" i="8"/>
  <c r="AN93" i="8"/>
  <c r="AK92" i="8"/>
  <c r="BC90" i="8"/>
  <c r="AZ89" i="8"/>
  <c r="AW88" i="8"/>
  <c r="AT87" i="8"/>
  <c r="AQ86" i="8"/>
  <c r="AN85" i="8"/>
  <c r="AK84" i="8"/>
  <c r="BC81" i="8"/>
  <c r="AZ80" i="8"/>
  <c r="AW79" i="8"/>
  <c r="AT78" i="8"/>
  <c r="AQ77" i="8"/>
  <c r="AN76" i="8"/>
  <c r="AK75" i="8"/>
  <c r="BC73" i="8"/>
  <c r="AZ72" i="8"/>
  <c r="AW71" i="8"/>
  <c r="AT70" i="8"/>
  <c r="AQ69" i="8"/>
  <c r="AN67" i="8"/>
  <c r="AK66" i="8"/>
  <c r="BC64" i="8"/>
  <c r="AZ63" i="8"/>
  <c r="AW62" i="8"/>
  <c r="AT61" i="8"/>
  <c r="AQ60" i="8"/>
  <c r="AN59" i="8"/>
  <c r="AK58" i="8"/>
  <c r="BC56" i="8"/>
  <c r="AZ55" i="8"/>
  <c r="AS50" i="8"/>
  <c r="AP49" i="8"/>
  <c r="AM48" i="8"/>
  <c r="BB45" i="8"/>
  <c r="AS41" i="8"/>
  <c r="AM39" i="8"/>
  <c r="BB36" i="8"/>
  <c r="AS32" i="8"/>
  <c r="AW27" i="13"/>
  <c r="AU148" i="10"/>
  <c r="AY130" i="10"/>
  <c r="AL119" i="10"/>
  <c r="AL112" i="10"/>
  <c r="AO105" i="10"/>
  <c r="AQ95" i="10"/>
  <c r="AT87" i="10"/>
  <c r="AW80" i="10"/>
  <c r="AZ72" i="10"/>
  <c r="BC64" i="10"/>
  <c r="AK57" i="10"/>
  <c r="AN50" i="10"/>
  <c r="AP40" i="10"/>
  <c r="AS31" i="10"/>
  <c r="BC26" i="10"/>
  <c r="BB22" i="10"/>
  <c r="AS20" i="10"/>
  <c r="AP17" i="10"/>
  <c r="AX15" i="10"/>
  <c r="BB13" i="10"/>
  <c r="AO12" i="10"/>
  <c r="AM8" i="10"/>
  <c r="AL6" i="10"/>
  <c r="AK4" i="10"/>
  <c r="AV7" i="9"/>
  <c r="AQ5" i="9"/>
  <c r="AP3" i="9"/>
  <c r="BE122" i="8"/>
  <c r="AY121" i="8"/>
  <c r="AS120" i="8"/>
  <c r="AL119" i="8"/>
  <c r="AY117" i="8"/>
  <c r="AS116" i="8"/>
  <c r="AM115" i="8"/>
  <c r="BB113" i="8"/>
  <c r="AV112" i="8"/>
  <c r="AP111" i="8"/>
  <c r="BE108" i="8"/>
  <c r="BB107" i="8"/>
  <c r="AY106" i="8"/>
  <c r="AV105" i="8"/>
  <c r="AS104" i="8"/>
  <c r="AP103" i="8"/>
  <c r="AM102" i="8"/>
  <c r="BE100" i="8"/>
  <c r="BB99" i="8"/>
  <c r="AY98" i="8"/>
  <c r="AV97" i="8"/>
  <c r="AS95" i="8"/>
  <c r="AP94" i="8"/>
  <c r="AM93" i="8"/>
  <c r="BE91" i="8"/>
  <c r="BB90" i="8"/>
  <c r="AY89" i="8"/>
  <c r="AV88" i="8"/>
  <c r="AS87" i="8"/>
  <c r="AP86" i="8"/>
  <c r="AM85" i="8"/>
  <c r="BE83" i="8"/>
  <c r="BB81" i="8"/>
  <c r="AY80" i="8"/>
  <c r="AV79" i="8"/>
  <c r="AS78" i="8"/>
  <c r="AP77" i="8"/>
  <c r="AM76" i="8"/>
  <c r="BE74" i="8"/>
  <c r="BB73" i="8"/>
  <c r="AY72" i="8"/>
  <c r="AV71" i="8"/>
  <c r="AS70" i="8"/>
  <c r="AP69" i="8"/>
  <c r="AM67" i="8"/>
  <c r="BE65" i="8"/>
  <c r="BB64" i="8"/>
  <c r="AY63" i="8"/>
  <c r="AV62" i="8"/>
  <c r="AS61" i="8"/>
  <c r="AP60" i="8"/>
  <c r="AM59" i="8"/>
  <c r="BE57" i="8"/>
  <c r="BB56" i="8"/>
  <c r="AY55" i="8"/>
  <c r="AV54" i="8"/>
  <c r="AR50" i="8"/>
  <c r="AO49" i="8"/>
  <c r="AL48" i="8"/>
  <c r="BD46" i="8"/>
  <c r="BA45" i="8"/>
  <c r="AX44" i="8"/>
  <c r="AU42" i="8"/>
  <c r="AR41" i="8"/>
  <c r="AO40" i="8"/>
  <c r="AL39" i="8"/>
  <c r="BD37" i="8"/>
  <c r="BA36" i="8"/>
  <c r="AX34" i="8"/>
  <c r="AU33" i="8"/>
  <c r="AR32" i="8"/>
  <c r="AO31" i="8"/>
  <c r="AL30" i="8"/>
  <c r="BD28" i="8"/>
  <c r="BA26" i="8"/>
  <c r="AX25" i="8"/>
  <c r="AU24" i="8"/>
  <c r="AS8" i="13"/>
  <c r="AM146" i="10"/>
  <c r="AR129" i="10"/>
  <c r="AK119" i="10"/>
  <c r="AK112" i="10"/>
  <c r="AN105" i="10"/>
  <c r="AP95" i="10"/>
  <c r="AS87" i="10"/>
  <c r="AV80" i="10"/>
  <c r="AY72" i="10"/>
  <c r="BB64" i="10"/>
  <c r="BE56" i="10"/>
  <c r="AM50" i="10"/>
  <c r="AO40" i="10"/>
  <c r="AR31" i="10"/>
  <c r="BB26" i="10"/>
  <c r="AZ22" i="10"/>
  <c r="AR20" i="10"/>
  <c r="AN17" i="10"/>
  <c r="AW15" i="10"/>
  <c r="AZ13" i="10"/>
  <c r="AN12" i="10"/>
  <c r="AL8" i="10"/>
  <c r="AK6" i="10"/>
  <c r="AJ4" i="10"/>
  <c r="AT7" i="9"/>
  <c r="AP5" i="9"/>
  <c r="AO3" i="9"/>
  <c r="BD122" i="8"/>
  <c r="AX121" i="8"/>
  <c r="AR120" i="8"/>
  <c r="BD118" i="8"/>
  <c r="AX117" i="8"/>
  <c r="AR116" i="8"/>
  <c r="AL115" i="8"/>
  <c r="BA113" i="8"/>
  <c r="AU112" i="8"/>
  <c r="AO111" i="8"/>
  <c r="BD108" i="8"/>
  <c r="BA107" i="8"/>
  <c r="AX106" i="8"/>
  <c r="AU105" i="8"/>
  <c r="AR104" i="8"/>
  <c r="AO103" i="8"/>
  <c r="AL102" i="8"/>
  <c r="BD100" i="8"/>
  <c r="BA99" i="8"/>
  <c r="AX98" i="8"/>
  <c r="AU97" i="8"/>
  <c r="AR95" i="8"/>
  <c r="AO94" i="8"/>
  <c r="AL93" i="8"/>
  <c r="BD91" i="8"/>
  <c r="BA90" i="8"/>
  <c r="AX89" i="8"/>
  <c r="AU88" i="8"/>
  <c r="AR87" i="8"/>
  <c r="AO86" i="8"/>
  <c r="AL85" i="8"/>
  <c r="BD83" i="8"/>
  <c r="BA81" i="8"/>
  <c r="AX80" i="8"/>
  <c r="AU79" i="8"/>
  <c r="AR78" i="8"/>
  <c r="AO77" i="8"/>
  <c r="AL76" i="8"/>
  <c r="BD74" i="8"/>
  <c r="BA73" i="8"/>
  <c r="AX72" i="8"/>
  <c r="AU71" i="8"/>
  <c r="AR70" i="8"/>
  <c r="AO69" i="8"/>
  <c r="AL67" i="8"/>
  <c r="BD65" i="8"/>
  <c r="BA64" i="8"/>
  <c r="AX63" i="8"/>
  <c r="AU62" i="8"/>
  <c r="AR61" i="8"/>
  <c r="AS6" i="13"/>
  <c r="BC145" i="10"/>
  <c r="AP129" i="10"/>
  <c r="BD117" i="10"/>
  <c r="AL111" i="10"/>
  <c r="AO104" i="10"/>
  <c r="AQ94" i="10"/>
  <c r="AT86" i="10"/>
  <c r="AW78" i="10"/>
  <c r="AZ71" i="10"/>
  <c r="BC63" i="10"/>
  <c r="AK56" i="10"/>
  <c r="AN49" i="10"/>
  <c r="AP38" i="10"/>
  <c r="AW30" i="10"/>
  <c r="BA26" i="10"/>
  <c r="AX22" i="10"/>
  <c r="AP20" i="10"/>
  <c r="AM17" i="10"/>
  <c r="AS15" i="10"/>
  <c r="AY13" i="10"/>
  <c r="BE11" i="10"/>
  <c r="AK8" i="10"/>
  <c r="AJ6" i="10"/>
  <c r="AW3" i="10"/>
  <c r="AP7" i="9"/>
  <c r="AO5" i="9"/>
  <c r="AN3" i="9"/>
  <c r="BC122" i="8"/>
  <c r="AW121" i="8"/>
  <c r="AP120" i="8"/>
  <c r="BC118" i="8"/>
  <c r="AW117" i="8"/>
  <c r="AQ116" i="8"/>
  <c r="AK115" i="8"/>
  <c r="AZ113" i="8"/>
  <c r="AT112" i="8"/>
  <c r="AM111" i="8"/>
  <c r="BC108" i="8"/>
  <c r="AZ107" i="8"/>
  <c r="AW106" i="8"/>
  <c r="AT105" i="8"/>
  <c r="AQ104" i="8"/>
  <c r="AN103" i="8"/>
  <c r="AK102" i="8"/>
  <c r="BC100" i="8"/>
  <c r="AZ99" i="8"/>
  <c r="AW98" i="8"/>
  <c r="AT97" i="8"/>
  <c r="AQ95" i="8"/>
  <c r="AN94" i="8"/>
  <c r="AK93" i="8"/>
  <c r="BC91" i="8"/>
  <c r="AZ90" i="8"/>
  <c r="AW89" i="8"/>
  <c r="AT88" i="8"/>
  <c r="AQ87" i="8"/>
  <c r="AN86" i="8"/>
  <c r="AK85" i="8"/>
  <c r="BC83" i="8"/>
  <c r="AZ81" i="8"/>
  <c r="AW80" i="8"/>
  <c r="AT79" i="8"/>
  <c r="AQ78" i="8"/>
  <c r="AN77" i="8"/>
  <c r="AK76" i="8"/>
  <c r="BC74" i="8"/>
  <c r="AZ73" i="8"/>
  <c r="AW72" i="8"/>
  <c r="AT71" i="8"/>
  <c r="AQ70" i="8"/>
  <c r="AN69" i="8"/>
  <c r="AK67" i="8"/>
  <c r="BC65" i="8"/>
  <c r="AZ64" i="8"/>
  <c r="AW63" i="8"/>
  <c r="AT62" i="8"/>
  <c r="AQ61" i="8"/>
  <c r="AN60" i="8"/>
  <c r="AK59" i="8"/>
  <c r="BC57" i="8"/>
  <c r="AZ56" i="8"/>
  <c r="AW55" i="8"/>
  <c r="AT54" i="8"/>
  <c r="AP50" i="8"/>
  <c r="AM49" i="8"/>
  <c r="BE47" i="8"/>
  <c r="BB46" i="8"/>
  <c r="AY45" i="8"/>
  <c r="AV44" i="8"/>
  <c r="AS42" i="8"/>
  <c r="AP41" i="8"/>
  <c r="AM40" i="8"/>
  <c r="BE38" i="8"/>
  <c r="BB37" i="8"/>
  <c r="AY36" i="8"/>
  <c r="AV34" i="8"/>
  <c r="AS33" i="8"/>
  <c r="AP32" i="8"/>
  <c r="AM31" i="8"/>
  <c r="BE29" i="8"/>
  <c r="BB28" i="8"/>
  <c r="AY26" i="8"/>
  <c r="AV25" i="8"/>
  <c r="AS24" i="8"/>
  <c r="AP23" i="8"/>
  <c r="AM22" i="8"/>
  <c r="BE20" i="8"/>
  <c r="BB18" i="8"/>
  <c r="AY17" i="8"/>
  <c r="AR4" i="13"/>
  <c r="AV145" i="10"/>
  <c r="AN129" i="10"/>
  <c r="BB117" i="10"/>
  <c r="BE110" i="10"/>
  <c r="AM104" i="10"/>
  <c r="AO94" i="10"/>
  <c r="AR86" i="10"/>
  <c r="AU78" i="10"/>
  <c r="AX71" i="10"/>
  <c r="BA63" i="10"/>
  <c r="BD55" i="10"/>
  <c r="AL49" i="10"/>
  <c r="AN38" i="10"/>
  <c r="AS30" i="10"/>
  <c r="AV26" i="10"/>
  <c r="AV22" i="10"/>
  <c r="AN20" i="10"/>
  <c r="AL17" i="10"/>
  <c r="AO15" i="10"/>
  <c r="AX13" i="10"/>
  <c r="BA11" i="10"/>
  <c r="AJ8" i="10"/>
  <c r="AW5" i="10"/>
  <c r="AV3" i="10"/>
  <c r="AO7" i="9"/>
  <c r="AN5" i="9"/>
  <c r="AM3" i="9"/>
  <c r="BB122" i="8"/>
  <c r="AV121" i="8"/>
  <c r="AO120" i="8"/>
  <c r="BB118" i="8"/>
  <c r="AV117" i="8"/>
  <c r="AP116" i="8"/>
  <c r="BE114" i="8"/>
  <c r="AY113" i="8"/>
  <c r="AS112" i="8"/>
  <c r="AL111" i="8"/>
  <c r="BB108" i="8"/>
  <c r="AY107" i="8"/>
  <c r="AV106" i="8"/>
  <c r="AS105" i="8"/>
  <c r="AP104" i="8"/>
  <c r="AM103" i="8"/>
  <c r="BE101" i="8"/>
  <c r="BB100" i="8"/>
  <c r="AY99" i="8"/>
  <c r="AV98" i="8"/>
  <c r="AS97" i="8"/>
  <c r="AP95" i="8"/>
  <c r="AM94" i="8"/>
  <c r="BE92" i="8"/>
  <c r="BB91" i="8"/>
  <c r="AY90" i="8"/>
  <c r="AV89" i="8"/>
  <c r="AS88" i="8"/>
  <c r="AP87" i="8"/>
  <c r="AM86" i="8"/>
  <c r="BE84" i="8"/>
  <c r="BB83" i="8"/>
  <c r="AY81" i="8"/>
  <c r="AV80" i="8"/>
  <c r="AS79" i="8"/>
  <c r="AP78" i="8"/>
  <c r="AM77" i="8"/>
  <c r="BE75" i="8"/>
  <c r="BB74" i="8"/>
  <c r="AY73" i="8"/>
  <c r="AV72" i="8"/>
  <c r="AS71" i="8"/>
  <c r="AP70" i="8"/>
  <c r="AM69" i="8"/>
  <c r="BE66" i="8"/>
  <c r="BB65" i="8"/>
  <c r="AY64" i="8"/>
  <c r="AV63" i="8"/>
  <c r="AS62" i="8"/>
  <c r="AP61" i="8"/>
  <c r="AU5" i="12"/>
  <c r="AK143" i="10"/>
  <c r="BD127" i="10"/>
  <c r="BA117" i="10"/>
  <c r="BD110" i="10"/>
  <c r="AL104" i="10"/>
  <c r="AN94" i="10"/>
  <c r="AQ86" i="10"/>
  <c r="AT78" i="10"/>
  <c r="AW71" i="10"/>
  <c r="AZ63" i="10"/>
  <c r="BC55" i="10"/>
  <c r="BE45" i="10"/>
  <c r="AM38" i="10"/>
  <c r="AQ30" i="10"/>
  <c r="AP26" i="10"/>
  <c r="AT22" i="10"/>
  <c r="AM20" i="10"/>
  <c r="AK17" i="10"/>
  <c r="AN15" i="10"/>
  <c r="AW13" i="10"/>
  <c r="AZ11" i="10"/>
  <c r="AW7" i="10"/>
  <c r="AV5" i="10"/>
  <c r="AU3" i="10"/>
  <c r="AN7" i="9"/>
  <c r="AM5" i="9"/>
  <c r="AL3" i="9"/>
  <c r="BA122" i="8"/>
  <c r="AU121" i="8"/>
  <c r="AL120" i="8"/>
  <c r="BA118" i="8"/>
  <c r="AU117" i="8"/>
  <c r="AO116" i="8"/>
  <c r="BD114" i="8"/>
  <c r="AX113" i="8"/>
  <c r="AR112" i="8"/>
  <c r="BE109" i="8"/>
  <c r="BA108" i="8"/>
  <c r="AX107" i="8"/>
  <c r="AU106" i="8"/>
  <c r="AR105" i="8"/>
  <c r="AO104" i="8"/>
  <c r="AL103" i="8"/>
  <c r="BD101" i="8"/>
  <c r="BA100" i="8"/>
  <c r="AX99" i="8"/>
  <c r="AU98" i="8"/>
  <c r="AR97" i="8"/>
  <c r="AO95" i="8"/>
  <c r="AL94" i="8"/>
  <c r="BD92" i="8"/>
  <c r="BA91" i="8"/>
  <c r="AX90" i="8"/>
  <c r="AU89" i="8"/>
  <c r="AR88" i="8"/>
  <c r="AO87" i="8"/>
  <c r="AL86" i="8"/>
  <c r="BD84" i="8"/>
  <c r="BA83" i="8"/>
  <c r="AX81" i="8"/>
  <c r="AU80" i="8"/>
  <c r="AR79" i="8"/>
  <c r="AO78" i="8"/>
  <c r="AL77" i="8"/>
  <c r="BD75" i="8"/>
  <c r="BA74" i="8"/>
  <c r="AX73" i="8"/>
  <c r="AU72" i="8"/>
  <c r="AR71" i="8"/>
  <c r="AO70" i="8"/>
  <c r="AL69" i="8"/>
  <c r="BD66" i="8"/>
  <c r="BA65" i="8"/>
  <c r="AX64" i="8"/>
  <c r="AU63" i="8"/>
  <c r="AR62" i="8"/>
  <c r="AO61" i="8"/>
  <c r="AL60" i="8"/>
  <c r="BD58" i="8"/>
  <c r="BA57" i="8"/>
  <c r="AX56" i="8"/>
  <c r="AU55" i="8"/>
  <c r="AR54" i="8"/>
  <c r="AN50" i="8"/>
  <c r="AK49" i="8"/>
  <c r="BC47" i="8"/>
  <c r="AZ46" i="8"/>
  <c r="AW45" i="8"/>
  <c r="AT44" i="8"/>
  <c r="AQ42" i="8"/>
  <c r="AN41" i="8"/>
  <c r="AK40" i="8"/>
  <c r="BC38" i="8"/>
  <c r="AZ37" i="8"/>
  <c r="AW36" i="8"/>
  <c r="AT34" i="8"/>
  <c r="AQ33" i="8"/>
  <c r="AN32" i="8"/>
  <c r="AK31" i="8"/>
  <c r="BC29" i="8"/>
  <c r="AZ28" i="8"/>
  <c r="AV3" i="12"/>
  <c r="BA142" i="10"/>
  <c r="AY127" i="10"/>
  <c r="AZ117" i="10"/>
  <c r="BC110" i="10"/>
  <c r="AK104" i="10"/>
  <c r="AM94" i="10"/>
  <c r="AP86" i="10"/>
  <c r="AS78" i="10"/>
  <c r="AV71" i="10"/>
  <c r="AY63" i="10"/>
  <c r="BB55" i="10"/>
  <c r="BD45" i="10"/>
  <c r="AL38" i="10"/>
  <c r="AP30" i="10"/>
  <c r="AO26" i="10"/>
  <c r="AS22" i="10"/>
  <c r="AL20" i="10"/>
  <c r="BE16" i="10"/>
  <c r="AM15" i="10"/>
  <c r="AV13" i="10"/>
  <c r="AY11" i="10"/>
  <c r="AV7" i="10"/>
  <c r="AU5" i="10"/>
  <c r="AS3" i="10"/>
  <c r="AM7" i="9"/>
  <c r="AL5" i="9"/>
  <c r="AK3" i="9"/>
  <c r="AZ122" i="8"/>
  <c r="AS121" i="8"/>
  <c r="AK120" i="8"/>
  <c r="AZ118" i="8"/>
  <c r="AT117" i="8"/>
  <c r="AN116" i="8"/>
  <c r="BC114" i="8"/>
  <c r="AW113" i="8"/>
  <c r="AP112" i="8"/>
  <c r="BD109" i="8"/>
  <c r="AZ108" i="8"/>
  <c r="AW107" i="8"/>
  <c r="AT106" i="8"/>
  <c r="AQ105" i="8"/>
  <c r="AN104" i="8"/>
  <c r="AK103" i="8"/>
  <c r="BC101" i="8"/>
  <c r="AZ100" i="8"/>
  <c r="AW99" i="8"/>
  <c r="AT98" i="8"/>
  <c r="AQ97" i="8"/>
  <c r="AN95" i="8"/>
  <c r="AK94" i="8"/>
  <c r="BC92" i="8"/>
  <c r="AZ91" i="8"/>
  <c r="AW90" i="8"/>
  <c r="AT89" i="8"/>
  <c r="AQ88" i="8"/>
  <c r="AN87" i="8"/>
  <c r="AK86" i="8"/>
  <c r="BC84" i="8"/>
  <c r="AZ83" i="8"/>
  <c r="AW81" i="8"/>
  <c r="AT80" i="8"/>
  <c r="AQ79" i="8"/>
  <c r="AN78" i="8"/>
  <c r="AK77" i="8"/>
  <c r="BC75" i="8"/>
  <c r="AZ74" i="8"/>
  <c r="AW73" i="8"/>
  <c r="AT72" i="8"/>
  <c r="AQ71" i="8"/>
  <c r="AN70" i="8"/>
  <c r="AK69" i="8"/>
  <c r="BC66" i="8"/>
  <c r="AZ65" i="8"/>
  <c r="AW64" i="8"/>
  <c r="AU7" i="11"/>
  <c r="AY142" i="10"/>
  <c r="AV127" i="10"/>
  <c r="BA116" i="10"/>
  <c r="BD109" i="10"/>
  <c r="AL103" i="10"/>
  <c r="AN93" i="10"/>
  <c r="AQ85" i="10"/>
  <c r="AT77" i="10"/>
  <c r="AW70" i="10"/>
  <c r="AZ62" i="10"/>
  <c r="BC54" i="10"/>
  <c r="BE44" i="10"/>
  <c r="AM37" i="10"/>
  <c r="AO30" i="10"/>
  <c r="AK26" i="10"/>
  <c r="AR22" i="10"/>
  <c r="AK20" i="10"/>
  <c r="BC16" i="10"/>
  <c r="AL15" i="10"/>
  <c r="AT13" i="10"/>
  <c r="AX11" i="10"/>
  <c r="AU7" i="10"/>
  <c r="AT5" i="10"/>
  <c r="AQ3" i="10"/>
  <c r="AL7" i="9"/>
  <c r="AK5" i="9"/>
  <c r="BE123" i="8"/>
  <c r="AY122" i="8"/>
  <c r="AR121" i="8"/>
  <c r="BE119" i="8"/>
  <c r="AY118" i="8"/>
  <c r="AS117" i="8"/>
  <c r="AM116" i="8"/>
  <c r="BB114" i="8"/>
  <c r="AV113" i="8"/>
  <c r="AO112" i="8"/>
  <c r="BC109" i="8"/>
  <c r="AY108" i="8"/>
  <c r="AV107" i="8"/>
  <c r="AS106" i="8"/>
  <c r="AP105" i="8"/>
  <c r="AM104" i="8"/>
  <c r="BE102" i="8"/>
  <c r="BB101" i="8"/>
  <c r="AY100" i="8"/>
  <c r="AV99" i="8"/>
  <c r="AS98" i="8"/>
  <c r="AP97" i="8"/>
  <c r="AM95" i="8"/>
  <c r="BE93" i="8"/>
  <c r="BB92" i="8"/>
  <c r="AY91" i="8"/>
  <c r="AV90" i="8"/>
  <c r="AS89" i="8"/>
  <c r="AP88" i="8"/>
  <c r="AM87" i="8"/>
  <c r="BE85" i="8"/>
  <c r="BB84" i="8"/>
  <c r="AY83" i="8"/>
  <c r="AV81" i="8"/>
  <c r="AS80" i="8"/>
  <c r="AP79" i="8"/>
  <c r="AM78" i="8"/>
  <c r="BE76" i="8"/>
  <c r="BB75" i="8"/>
  <c r="AY74" i="8"/>
  <c r="AV73" i="8"/>
  <c r="AS72" i="8"/>
  <c r="AP71" i="8"/>
  <c r="AM70" i="8"/>
  <c r="BE67" i="8"/>
  <c r="BB66" i="8"/>
  <c r="AY65" i="8"/>
  <c r="AV64" i="8"/>
  <c r="AS63" i="8"/>
  <c r="AP62" i="8"/>
  <c r="AM61" i="8"/>
  <c r="BE59" i="8"/>
  <c r="BB58" i="8"/>
  <c r="AY57" i="8"/>
  <c r="AK187" i="10"/>
  <c r="AW139" i="10"/>
  <c r="AQ126" i="10"/>
  <c r="AY116" i="10"/>
  <c r="BB109" i="10"/>
  <c r="BE102" i="10"/>
  <c r="AL93" i="10"/>
  <c r="AO85" i="10"/>
  <c r="AR77" i="10"/>
  <c r="AU70" i="10"/>
  <c r="AX62" i="10"/>
  <c r="BA54" i="10"/>
  <c r="BC44" i="10"/>
  <c r="AK37" i="10"/>
  <c r="AX29" i="10"/>
  <c r="BB24" i="10"/>
  <c r="AQ22" i="10"/>
  <c r="BB19" i="10"/>
  <c r="BB16" i="10"/>
  <c r="AK15" i="10"/>
  <c r="AS13" i="10"/>
  <c r="AW11" i="10"/>
  <c r="AT7" i="10"/>
  <c r="AS5" i="10"/>
  <c r="AM3" i="10"/>
  <c r="AK7" i="9"/>
  <c r="AJ5" i="9"/>
  <c r="BD123" i="8"/>
  <c r="AX122" i="8"/>
  <c r="AO121" i="8"/>
  <c r="BD119" i="8"/>
  <c r="AX118" i="8"/>
  <c r="AR117" i="8"/>
  <c r="AL116" i="8"/>
  <c r="BA114" i="8"/>
  <c r="AU113" i="8"/>
  <c r="AL112" i="8"/>
  <c r="BB109" i="8"/>
  <c r="AX108" i="8"/>
  <c r="AU107" i="8"/>
  <c r="AR106" i="8"/>
  <c r="AO105" i="8"/>
  <c r="AL104" i="8"/>
  <c r="BD102" i="8"/>
  <c r="BA101" i="8"/>
  <c r="AX100" i="8"/>
  <c r="AU99" i="8"/>
  <c r="AR98" i="8"/>
  <c r="AO97" i="8"/>
  <c r="AL95" i="8"/>
  <c r="BD93" i="8"/>
  <c r="BA92" i="8"/>
  <c r="AX91" i="8"/>
  <c r="AU90" i="8"/>
  <c r="AR89" i="8"/>
  <c r="AO88" i="8"/>
  <c r="AL87" i="8"/>
  <c r="BD85" i="8"/>
  <c r="BA84" i="8"/>
  <c r="AX83" i="8"/>
  <c r="AU81" i="8"/>
  <c r="AR80" i="8"/>
  <c r="AO79" i="8"/>
  <c r="AL78" i="8"/>
  <c r="BD76" i="8"/>
  <c r="BA75" i="8"/>
  <c r="AX74" i="8"/>
  <c r="AU73" i="8"/>
  <c r="AR72" i="8"/>
  <c r="AO71" i="8"/>
  <c r="AL70" i="8"/>
  <c r="BD67" i="8"/>
  <c r="BA66" i="8"/>
  <c r="AX65" i="8"/>
  <c r="BC185" i="10"/>
  <c r="AT139" i="10"/>
  <c r="AO126" i="10"/>
  <c r="AX116" i="10"/>
  <c r="BA109" i="10"/>
  <c r="BD102" i="10"/>
  <c r="AK93" i="10"/>
  <c r="AN85" i="10"/>
  <c r="AQ77" i="10"/>
  <c r="AT70" i="10"/>
  <c r="AW62" i="10"/>
  <c r="AZ54" i="10"/>
  <c r="BB44" i="10"/>
  <c r="BE36" i="10"/>
  <c r="AT29" i="10"/>
  <c r="AZ24" i="10"/>
  <c r="AM22" i="10"/>
  <c r="AX19" i="10"/>
  <c r="BA16" i="10"/>
  <c r="BE14" i="10"/>
  <c r="AR13" i="10"/>
  <c r="AV11" i="10"/>
  <c r="AS7" i="10"/>
  <c r="AR5" i="10"/>
  <c r="AL3" i="10"/>
  <c r="AJ7" i="9"/>
  <c r="AW4" i="9"/>
  <c r="BC123" i="8"/>
  <c r="AV122" i="8"/>
  <c r="AN121" i="8"/>
  <c r="BC119" i="8"/>
  <c r="AW118" i="8"/>
  <c r="AQ117" i="8"/>
  <c r="AK116" i="8"/>
  <c r="AZ114" i="8"/>
  <c r="AS113" i="8"/>
  <c r="AK112" i="8"/>
  <c r="BA109" i="8"/>
  <c r="AW108" i="8"/>
  <c r="AT107" i="8"/>
  <c r="AQ106" i="8"/>
  <c r="AN105" i="8"/>
  <c r="AK104" i="8"/>
  <c r="BC102" i="8"/>
  <c r="AZ101" i="8"/>
  <c r="AW100" i="8"/>
  <c r="AT99" i="8"/>
  <c r="AQ98" i="8"/>
  <c r="AN97" i="8"/>
  <c r="AK95" i="8"/>
  <c r="BC93" i="8"/>
  <c r="AZ92" i="8"/>
  <c r="AW91" i="8"/>
  <c r="AT90" i="8"/>
  <c r="AQ89" i="8"/>
  <c r="AN88" i="8"/>
  <c r="AK87" i="8"/>
  <c r="BC85" i="8"/>
  <c r="AZ84" i="8"/>
  <c r="AW83" i="8"/>
  <c r="AT81" i="8"/>
  <c r="AQ80" i="8"/>
  <c r="AN79" i="8"/>
  <c r="AK78" i="8"/>
  <c r="BC76" i="8"/>
  <c r="AZ75" i="8"/>
  <c r="AW74" i="8"/>
  <c r="AT73" i="8"/>
  <c r="AQ72" i="8"/>
  <c r="AN71" i="8"/>
  <c r="AK70" i="8"/>
  <c r="BC67" i="8"/>
  <c r="AZ66" i="8"/>
  <c r="AW65" i="8"/>
  <c r="AT64" i="8"/>
  <c r="AQ63" i="8"/>
  <c r="AN62" i="8"/>
  <c r="AK61" i="8"/>
  <c r="BC59" i="8"/>
  <c r="AZ58" i="8"/>
  <c r="AW57" i="8"/>
  <c r="AT56" i="8"/>
  <c r="AQ55" i="8"/>
  <c r="AN54" i="8"/>
  <c r="BE49" i="8"/>
  <c r="BB48" i="8"/>
  <c r="AY47" i="8"/>
  <c r="AV46" i="8"/>
  <c r="AS45" i="8"/>
  <c r="AP44" i="8"/>
  <c r="AM42" i="8"/>
  <c r="BE40" i="8"/>
  <c r="BB39" i="8"/>
  <c r="AZ184" i="10"/>
  <c r="AR139" i="10"/>
  <c r="AL126" i="10"/>
  <c r="AW116" i="10"/>
  <c r="AZ109" i="10"/>
  <c r="BC102" i="10"/>
  <c r="BE92" i="10"/>
  <c r="AM85" i="10"/>
  <c r="AP77" i="10"/>
  <c r="AS70" i="10"/>
  <c r="AV62" i="10"/>
  <c r="AY54" i="10"/>
  <c r="BA44" i="10"/>
  <c r="BD36" i="10"/>
  <c r="AP29" i="10"/>
  <c r="AY24" i="10"/>
  <c r="BB21" i="10"/>
  <c r="AV19" i="10"/>
  <c r="AZ16" i="10"/>
  <c r="BC14" i="10"/>
  <c r="AQ13" i="10"/>
  <c r="AU11" i="10"/>
  <c r="AR7" i="10"/>
  <c r="AQ5" i="10"/>
  <c r="AK3" i="10"/>
  <c r="AW6" i="9"/>
  <c r="AV4" i="9"/>
  <c r="BB123" i="8"/>
  <c r="AU122" i="8"/>
  <c r="AM121" i="8"/>
  <c r="BB119" i="8"/>
  <c r="AV118" i="8"/>
  <c r="AP117" i="8"/>
  <c r="BE115" i="8"/>
  <c r="AY114" i="8"/>
  <c r="AR113" i="8"/>
  <c r="BE111" i="8"/>
  <c r="AZ109" i="8"/>
  <c r="AV108" i="8"/>
  <c r="AS107" i="8"/>
  <c r="AP106" i="8"/>
  <c r="AM105" i="8"/>
  <c r="BE103" i="8"/>
  <c r="BB102" i="8"/>
  <c r="AY101" i="8"/>
  <c r="AV100" i="8"/>
  <c r="AS99" i="8"/>
  <c r="AP98" i="8"/>
  <c r="AM97" i="8"/>
  <c r="BE94" i="8"/>
  <c r="BB93" i="8"/>
  <c r="AY92" i="8"/>
  <c r="AV91" i="8"/>
  <c r="AS90" i="8"/>
  <c r="AP89" i="8"/>
  <c r="AM88" i="8"/>
  <c r="BE86" i="8"/>
  <c r="BB85" i="8"/>
  <c r="AY84" i="8"/>
  <c r="AV83" i="8"/>
  <c r="AS81" i="8"/>
  <c r="AP80" i="8"/>
  <c r="AM79" i="8"/>
  <c r="BE77" i="8"/>
  <c r="BB76" i="8"/>
  <c r="AY75" i="8"/>
  <c r="AV74" i="8"/>
  <c r="AS73" i="8"/>
  <c r="AP72" i="8"/>
  <c r="AM71" i="8"/>
  <c r="BE69" i="8"/>
  <c r="BB67" i="8"/>
  <c r="AY66" i="8"/>
  <c r="AV65" i="8"/>
  <c r="AS64" i="8"/>
  <c r="AP63" i="8"/>
  <c r="AM62" i="8"/>
  <c r="BE60" i="8"/>
  <c r="BB59" i="8"/>
  <c r="AY58" i="8"/>
  <c r="AV57" i="8"/>
  <c r="AS56" i="8"/>
  <c r="AP55" i="8"/>
  <c r="AM54" i="8"/>
  <c r="BD49" i="8"/>
  <c r="BA48" i="8"/>
  <c r="AQ172" i="10"/>
  <c r="AV137" i="10"/>
  <c r="BA124" i="10"/>
  <c r="AX115" i="10"/>
  <c r="BA108" i="10"/>
  <c r="BC98" i="10"/>
  <c r="AK92" i="10"/>
  <c r="AN84" i="10"/>
  <c r="AQ76" i="10"/>
  <c r="AT68" i="10"/>
  <c r="AW61" i="10"/>
  <c r="AZ53" i="10"/>
  <c r="BB43" i="10"/>
  <c r="BE35" i="10"/>
  <c r="AN29" i="10"/>
  <c r="AX24" i="10"/>
  <c r="BA21" i="10"/>
  <c r="AU19" i="10"/>
  <c r="AV16" i="10"/>
  <c r="BB14" i="10"/>
  <c r="AM13" i="10"/>
  <c r="AT11" i="10"/>
  <c r="AQ7" i="10"/>
  <c r="AO5" i="10"/>
  <c r="AW8" i="9"/>
  <c r="AV6" i="9"/>
  <c r="AU4" i="9"/>
  <c r="BA123" i="8"/>
  <c r="AR122" i="8"/>
  <c r="AL121" i="8"/>
  <c r="BA119" i="8"/>
  <c r="AU118" i="8"/>
  <c r="AO117" i="8"/>
  <c r="BD115" i="8"/>
  <c r="AX114" i="8"/>
  <c r="AO113" i="8"/>
  <c r="BD111" i="8"/>
  <c r="AY109" i="8"/>
  <c r="AU108" i="8"/>
  <c r="AR107" i="8"/>
  <c r="AO106" i="8"/>
  <c r="AL105" i="8"/>
  <c r="BD103" i="8"/>
  <c r="BA102" i="8"/>
  <c r="AX101" i="8"/>
  <c r="AU100" i="8"/>
  <c r="AR99" i="8"/>
  <c r="AO98" i="8"/>
  <c r="AL97" i="8"/>
  <c r="BD94" i="8"/>
  <c r="BA93" i="8"/>
  <c r="AX92" i="8"/>
  <c r="AU91" i="8"/>
  <c r="AR90" i="8"/>
  <c r="AO89" i="8"/>
  <c r="AL88" i="8"/>
  <c r="BD86" i="8"/>
  <c r="BA85" i="8"/>
  <c r="AX84" i="8"/>
  <c r="AU83" i="8"/>
  <c r="AR81" i="8"/>
  <c r="AO80" i="8"/>
  <c r="AL79" i="8"/>
  <c r="BD77" i="8"/>
  <c r="BA76" i="8"/>
  <c r="AX75" i="8"/>
  <c r="AU74" i="8"/>
  <c r="AR73" i="8"/>
  <c r="AO72" i="8"/>
  <c r="AL71" i="8"/>
  <c r="BD69" i="8"/>
  <c r="BA67" i="8"/>
  <c r="AX66" i="8"/>
  <c r="AU65" i="8"/>
  <c r="AR64" i="8"/>
  <c r="AO63" i="8"/>
  <c r="AL62" i="8"/>
  <c r="BD60" i="8"/>
  <c r="BA59" i="8"/>
  <c r="AX58" i="8"/>
  <c r="AU57" i="8"/>
  <c r="AR56" i="8"/>
  <c r="AO55" i="8"/>
  <c r="AL54" i="8"/>
  <c r="BC49" i="8"/>
  <c r="AN171" i="10"/>
  <c r="AT137" i="10"/>
  <c r="AY124" i="10"/>
  <c r="AV115" i="10"/>
  <c r="AY108" i="10"/>
  <c r="BA98" i="10"/>
  <c r="BD91" i="10"/>
  <c r="AL84" i="10"/>
  <c r="AO76" i="10"/>
  <c r="AR68" i="10"/>
  <c r="AU61" i="10"/>
  <c r="AX53" i="10"/>
  <c r="AZ43" i="10"/>
  <c r="BC35" i="10"/>
  <c r="AM29" i="10"/>
  <c r="AS24" i="10"/>
  <c r="AY21" i="10"/>
  <c r="AS19" i="10"/>
  <c r="AR16" i="10"/>
  <c r="BA14" i="10"/>
  <c r="BD12" i="10"/>
  <c r="AS11" i="10"/>
  <c r="AP7" i="10"/>
  <c r="AM5" i="10"/>
  <c r="AV8" i="9"/>
  <c r="AU6" i="9"/>
  <c r="AT4" i="9"/>
  <c r="AY123" i="8"/>
  <c r="AQ122" i="8"/>
  <c r="AK121" i="8"/>
  <c r="AZ119" i="8"/>
  <c r="AT118" i="8"/>
  <c r="AN117" i="8"/>
  <c r="BC115" i="8"/>
  <c r="AV114" i="8"/>
  <c r="AN113" i="8"/>
  <c r="BC111" i="8"/>
  <c r="AX109" i="8"/>
  <c r="AT108" i="8"/>
  <c r="AQ107" i="8"/>
  <c r="AN106" i="8"/>
  <c r="AK105" i="8"/>
  <c r="BC103" i="8"/>
  <c r="AZ102" i="8"/>
  <c r="AW101" i="8"/>
  <c r="AT100" i="8"/>
  <c r="AQ99" i="8"/>
  <c r="AN98" i="8"/>
  <c r="AK97" i="8"/>
  <c r="BC94" i="8"/>
  <c r="AZ93" i="8"/>
  <c r="AW92" i="8"/>
  <c r="AT91" i="8"/>
  <c r="AQ90" i="8"/>
  <c r="AN89" i="8"/>
  <c r="AK88" i="8"/>
  <c r="BC86" i="8"/>
  <c r="AZ85" i="8"/>
  <c r="AW84" i="8"/>
  <c r="AT83" i="8"/>
  <c r="AQ81" i="8"/>
  <c r="AN80" i="8"/>
  <c r="AK79" i="8"/>
  <c r="BC77" i="8"/>
  <c r="AZ76" i="8"/>
  <c r="AW75" i="8"/>
  <c r="AT74" i="8"/>
  <c r="AQ73" i="8"/>
  <c r="AN72" i="8"/>
  <c r="AK71" i="8"/>
  <c r="BC69" i="8"/>
  <c r="AZ67" i="8"/>
  <c r="AW66" i="8"/>
  <c r="AT65" i="8"/>
  <c r="AQ64" i="8"/>
  <c r="AN63" i="8"/>
  <c r="AK62" i="8"/>
  <c r="BC60" i="8"/>
  <c r="AZ59" i="8"/>
  <c r="AW58" i="8"/>
  <c r="AT57" i="8"/>
  <c r="AQ56" i="8"/>
  <c r="AN55" i="8"/>
  <c r="BE50" i="8"/>
  <c r="BB49" i="8"/>
  <c r="AY48" i="8"/>
  <c r="AV47" i="8"/>
  <c r="AS46" i="8"/>
  <c r="AP45" i="8"/>
  <c r="AM44" i="8"/>
  <c r="BE41" i="8"/>
  <c r="AW162" i="10"/>
  <c r="BD135" i="10"/>
  <c r="AW124" i="10"/>
  <c r="AT115" i="10"/>
  <c r="AW108" i="10"/>
  <c r="AY98" i="10"/>
  <c r="BB91" i="10"/>
  <c r="BE83" i="10"/>
  <c r="AM76" i="10"/>
  <c r="AP68" i="10"/>
  <c r="AS61" i="10"/>
  <c r="AV53" i="10"/>
  <c r="AX43" i="10"/>
  <c r="BA35" i="10"/>
  <c r="AU28" i="10"/>
  <c r="AL24" i="10"/>
  <c r="AU21" i="10"/>
  <c r="AP19" i="10"/>
  <c r="AP16" i="10"/>
  <c r="AY14" i="10"/>
  <c r="BB12" i="10"/>
  <c r="AQ11" i="10"/>
  <c r="AN7" i="10"/>
  <c r="AV4" i="10"/>
  <c r="AT8" i="9"/>
  <c r="AS6" i="9"/>
  <c r="AR4" i="9"/>
  <c r="AU123" i="8"/>
  <c r="AO122" i="8"/>
  <c r="BD120" i="8"/>
  <c r="AX119" i="8"/>
  <c r="AR118" i="8"/>
  <c r="AL117" i="8"/>
  <c r="BA115" i="8"/>
  <c r="AR114" i="8"/>
  <c r="AL113" i="8"/>
  <c r="BA111" i="8"/>
  <c r="AV109" i="8"/>
  <c r="AR108" i="8"/>
  <c r="AO107" i="8"/>
  <c r="AL106" i="8"/>
  <c r="BD104" i="8"/>
  <c r="BA103" i="8"/>
  <c r="AX102" i="8"/>
  <c r="AU101" i="8"/>
  <c r="AR100" i="8"/>
  <c r="AO99" i="8"/>
  <c r="AL98" i="8"/>
  <c r="BD95" i="8"/>
  <c r="AK170" i="10"/>
  <c r="AN76" i="10"/>
  <c r="AW21" i="10"/>
  <c r="AU8" i="9"/>
  <c r="AM117" i="8"/>
  <c r="AM106" i="8"/>
  <c r="BE95" i="8"/>
  <c r="AL89" i="8"/>
  <c r="AO81" i="8"/>
  <c r="AR74" i="8"/>
  <c r="AU66" i="8"/>
  <c r="AN61" i="8"/>
  <c r="AZ57" i="8"/>
  <c r="AU54" i="8"/>
  <c r="AX48" i="8"/>
  <c r="AP46" i="8"/>
  <c r="AT42" i="8"/>
  <c r="AL40" i="8"/>
  <c r="BC37" i="8"/>
  <c r="AM36" i="8"/>
  <c r="BD32" i="8"/>
  <c r="BA30" i="8"/>
  <c r="AY28" i="8"/>
  <c r="AM26" i="8"/>
  <c r="AM24" i="8"/>
  <c r="AP22" i="8"/>
  <c r="AY20" i="8"/>
  <c r="AL18" i="8"/>
  <c r="AS16" i="8"/>
  <c r="BE14" i="8"/>
  <c r="AP13" i="8"/>
  <c r="BC11" i="8"/>
  <c r="AM8" i="8"/>
  <c r="AM6" i="8"/>
  <c r="AL4" i="8"/>
  <c r="AK4" i="8"/>
  <c r="BD39" i="8"/>
  <c r="AY30" i="8"/>
  <c r="AK24" i="8"/>
  <c r="BA17" i="8"/>
  <c r="BC14" i="8"/>
  <c r="AK8" i="8"/>
  <c r="AV3" i="8"/>
  <c r="AZ17" i="8"/>
  <c r="AZ11" i="8"/>
  <c r="AU5" i="8"/>
  <c r="BA21" i="8"/>
  <c r="BA12" i="8"/>
  <c r="AK5" i="8"/>
  <c r="AN17" i="8"/>
  <c r="AQ15" i="8"/>
  <c r="AS4" i="8"/>
  <c r="AM28" i="10"/>
  <c r="BD82" i="10"/>
  <c r="BB30" i="8"/>
  <c r="AS162" i="10"/>
  <c r="AN75" i="10"/>
  <c r="AS21" i="10"/>
  <c r="AS8" i="9"/>
  <c r="AK117" i="8"/>
  <c r="AK106" i="8"/>
  <c r="BC95" i="8"/>
  <c r="AK89" i="8"/>
  <c r="AN81" i="8"/>
  <c r="AQ74" i="8"/>
  <c r="AT66" i="8"/>
  <c r="AL61" i="8"/>
  <c r="AX57" i="8"/>
  <c r="AS54" i="8"/>
  <c r="AW48" i="8"/>
  <c r="AO46" i="8"/>
  <c r="AR42" i="8"/>
  <c r="BE39" i="8"/>
  <c r="BA37" i="8"/>
  <c r="AL36" i="8"/>
  <c r="BC32" i="8"/>
  <c r="AZ30" i="8"/>
  <c r="AX28" i="8"/>
  <c r="AL26" i="8"/>
  <c r="AL24" i="8"/>
  <c r="AO22" i="8"/>
  <c r="AX20" i="8"/>
  <c r="BB17" i="8"/>
  <c r="AR16" i="8"/>
  <c r="BD14" i="8"/>
  <c r="AO13" i="8"/>
  <c r="BB11" i="8"/>
  <c r="AL8" i="8"/>
  <c r="AL6" i="8"/>
  <c r="AY37" i="8"/>
  <c r="BB32" i="8"/>
  <c r="AY25" i="8"/>
  <c r="AN22" i="8"/>
  <c r="AQ16" i="8"/>
  <c r="AN13" i="8"/>
  <c r="AK6" i="8"/>
  <c r="AV20" i="8"/>
  <c r="AM13" i="8"/>
  <c r="AS3" i="8"/>
  <c r="BD18" i="8"/>
  <c r="AS11" i="8"/>
  <c r="AK3" i="8"/>
  <c r="AV21" i="8"/>
  <c r="AU18" i="8"/>
  <c r="AR6" i="8"/>
  <c r="AZ40" i="8"/>
  <c r="AQ26" i="8"/>
  <c r="AP8" i="8"/>
  <c r="AQ118" i="8"/>
  <c r="BE11" i="8"/>
  <c r="BE32" i="8"/>
  <c r="BE161" i="10"/>
  <c r="AL75" i="10"/>
  <c r="AQ21" i="10"/>
  <c r="AR8" i="9"/>
  <c r="BE116" i="8"/>
  <c r="BE105" i="8"/>
  <c r="BB95" i="8"/>
  <c r="BE88" i="8"/>
  <c r="AM81" i="8"/>
  <c r="AP74" i="8"/>
  <c r="AS66" i="8"/>
  <c r="BB60" i="8"/>
  <c r="AS57" i="8"/>
  <c r="AQ54" i="8"/>
  <c r="AV48" i="8"/>
  <c r="AZ45" i="8"/>
  <c r="AP42" i="8"/>
  <c r="AW34" i="8"/>
  <c r="AW28" i="8"/>
  <c r="AW20" i="8"/>
  <c r="BA11" i="8"/>
  <c r="BB14" i="8"/>
  <c r="AJ6" i="8"/>
  <c r="AT3" i="8"/>
  <c r="AY11" i="8"/>
  <c r="AR3" i="8"/>
  <c r="AO3" i="8"/>
  <c r="BB12" i="8"/>
  <c r="AR17" i="8"/>
  <c r="AM3" i="8"/>
  <c r="AW4" i="8"/>
  <c r="AV4" i="8"/>
  <c r="BC22" i="8"/>
  <c r="AO90" i="8"/>
  <c r="BC48" i="8"/>
  <c r="AO36" i="8"/>
  <c r="AT4" i="10"/>
  <c r="AK15" i="8"/>
  <c r="AQ137" i="10"/>
  <c r="AQ68" i="10"/>
  <c r="AQ19" i="10"/>
  <c r="AT6" i="9"/>
  <c r="BB115" i="8"/>
  <c r="BE104" i="8"/>
  <c r="BB94" i="8"/>
  <c r="BE87" i="8"/>
  <c r="AM80" i="8"/>
  <c r="AP73" i="8"/>
  <c r="AS65" i="8"/>
  <c r="BA60" i="8"/>
  <c r="AR57" i="8"/>
  <c r="AP54" i="8"/>
  <c r="AU48" i="8"/>
  <c r="AX45" i="8"/>
  <c r="AO42" i="8"/>
  <c r="BC39" i="8"/>
  <c r="AX37" i="8"/>
  <c r="AU34" i="8"/>
  <c r="BA32" i="8"/>
  <c r="AX30" i="8"/>
  <c r="AV28" i="8"/>
  <c r="AW25" i="8"/>
  <c r="BE23" i="8"/>
  <c r="AL22" i="8"/>
  <c r="AP16" i="8"/>
  <c r="AJ8" i="8"/>
  <c r="BA14" i="8"/>
  <c r="AW7" i="8"/>
  <c r="AU11" i="8"/>
  <c r="AS17" i="8"/>
  <c r="AO28" i="8"/>
  <c r="AK14" i="8"/>
  <c r="AS26" i="8"/>
  <c r="AU75" i="8"/>
  <c r="AP83" i="8"/>
  <c r="AP18" i="8"/>
  <c r="BD42" i="8"/>
  <c r="AW135" i="10"/>
  <c r="AQ67" i="10"/>
  <c r="AO19" i="10"/>
  <c r="AR6" i="9"/>
  <c r="AY115" i="8"/>
  <c r="BC104" i="8"/>
  <c r="BA94" i="8"/>
  <c r="BD87" i="8"/>
  <c r="AL80" i="8"/>
  <c r="AO73" i="8"/>
  <c r="AR65" i="8"/>
  <c r="AZ60" i="8"/>
  <c r="AQ57" i="8"/>
  <c r="AO54" i="8"/>
  <c r="AK48" i="8"/>
  <c r="AV45" i="8"/>
  <c r="AN42" i="8"/>
  <c r="BA39" i="8"/>
  <c r="AW37" i="8"/>
  <c r="AS34" i="8"/>
  <c r="AQ32" i="8"/>
  <c r="AW30" i="8"/>
  <c r="AU28" i="8"/>
  <c r="AU25" i="8"/>
  <c r="BD23" i="8"/>
  <c r="AK22" i="8"/>
  <c r="AU20" i="8"/>
  <c r="AX17" i="8"/>
  <c r="AO16" i="8"/>
  <c r="AL13" i="8"/>
  <c r="AV5" i="8"/>
  <c r="BC12" i="8"/>
  <c r="BE15" i="8"/>
  <c r="AN3" i="8"/>
  <c r="BC18" i="8"/>
  <c r="AT15" i="8"/>
  <c r="AT29" i="8"/>
  <c r="BE61" i="8"/>
  <c r="AL12" i="8"/>
  <c r="BC61" i="8"/>
  <c r="AK33" i="8"/>
  <c r="AP118" i="8"/>
  <c r="AO18" i="8"/>
  <c r="AU135" i="10"/>
  <c r="AO67" i="10"/>
  <c r="AM19" i="10"/>
  <c r="AQ6" i="9"/>
  <c r="AX115" i="8"/>
  <c r="BB104" i="8"/>
  <c r="AZ94" i="8"/>
  <c r="BC87" i="8"/>
  <c r="AK80" i="8"/>
  <c r="AN73" i="8"/>
  <c r="AQ65" i="8"/>
  <c r="AY60" i="8"/>
  <c r="AP57" i="8"/>
  <c r="BD50" i="8"/>
  <c r="BD47" i="8"/>
  <c r="AU45" i="8"/>
  <c r="AL42" i="8"/>
  <c r="AZ39" i="8"/>
  <c r="AV37" i="8"/>
  <c r="AR34" i="8"/>
  <c r="AO32" i="8"/>
  <c r="AV30" i="8"/>
  <c r="AT28" i="8"/>
  <c r="AT25" i="8"/>
  <c r="BC23" i="8"/>
  <c r="BE21" i="8"/>
  <c r="AT20" i="8"/>
  <c r="AW17" i="8"/>
  <c r="AN16" i="8"/>
  <c r="AX14" i="8"/>
  <c r="AK13" i="8"/>
  <c r="AX11" i="8"/>
  <c r="AV7" i="8"/>
  <c r="AO5" i="8"/>
  <c r="AP14" i="8"/>
  <c r="AZ21" i="8"/>
  <c r="AM5" i="8"/>
  <c r="AV12" i="8"/>
  <c r="AT4" i="8"/>
  <c r="AS6" i="8"/>
  <c r="AV119" i="8"/>
  <c r="AS38" i="8"/>
  <c r="AU16" i="8"/>
  <c r="AM89" i="8"/>
  <c r="AX124" i="10"/>
  <c r="AT61" i="10"/>
  <c r="AQ16" i="10"/>
  <c r="AS4" i="9"/>
  <c r="AU114" i="8"/>
  <c r="BB103" i="8"/>
  <c r="AY94" i="8"/>
  <c r="BB87" i="8"/>
  <c r="BE79" i="8"/>
  <c r="AM73" i="8"/>
  <c r="AP65" i="8"/>
  <c r="AO60" i="8"/>
  <c r="BA56" i="8"/>
  <c r="BC50" i="8"/>
  <c r="BB47" i="8"/>
  <c r="AT45" i="8"/>
  <c r="AK42" i="8"/>
  <c r="AY39" i="8"/>
  <c r="AU37" i="8"/>
  <c r="AQ34" i="8"/>
  <c r="AM32" i="8"/>
  <c r="AU30" i="8"/>
  <c r="AS28" i="8"/>
  <c r="AS25" i="8"/>
  <c r="BB23" i="8"/>
  <c r="BD21" i="8"/>
  <c r="AS20" i="8"/>
  <c r="AV17" i="8"/>
  <c r="AM16" i="8"/>
  <c r="AS14" i="8"/>
  <c r="BE12" i="8"/>
  <c r="AW11" i="8"/>
  <c r="AU7" i="8"/>
  <c r="AR5" i="8"/>
  <c r="AQ3" i="8"/>
  <c r="AT7" i="8"/>
  <c r="AP3" i="8"/>
  <c r="AK30" i="8"/>
  <c r="AS23" i="8"/>
  <c r="AT17" i="8"/>
  <c r="AR7" i="8"/>
  <c r="BB29" i="8"/>
  <c r="AW6" i="8"/>
  <c r="BD16" i="8"/>
  <c r="AX16" i="8"/>
  <c r="BE48" i="8"/>
  <c r="BA22" i="8"/>
  <c r="AP4" i="8"/>
  <c r="BD57" i="8"/>
  <c r="AX13" i="8"/>
  <c r="AN40" i="8"/>
  <c r="BD11" i="8"/>
  <c r="AR123" i="10"/>
  <c r="AT60" i="10"/>
  <c r="AO16" i="10"/>
  <c r="AP4" i="9"/>
  <c r="AQ114" i="8"/>
  <c r="AZ103" i="8"/>
  <c r="AY93" i="8"/>
  <c r="BB86" i="8"/>
  <c r="BE78" i="8"/>
  <c r="AM72" i="8"/>
  <c r="AU64" i="8"/>
  <c r="AM60" i="8"/>
  <c r="AY56" i="8"/>
  <c r="BB50" i="8"/>
  <c r="BA47" i="8"/>
  <c r="AR45" i="8"/>
  <c r="BD41" i="8"/>
  <c r="AX39" i="8"/>
  <c r="AT37" i="8"/>
  <c r="AP34" i="8"/>
  <c r="AL32" i="8"/>
  <c r="AM30" i="8"/>
  <c r="AR28" i="8"/>
  <c r="AR25" i="8"/>
  <c r="BA23" i="8"/>
  <c r="BC21" i="8"/>
  <c r="AR20" i="8"/>
  <c r="AU17" i="8"/>
  <c r="AL16" i="8"/>
  <c r="AR14" i="8"/>
  <c r="BD12" i="8"/>
  <c r="AV11" i="8"/>
  <c r="AP5" i="8"/>
  <c r="AK32" i="8"/>
  <c r="BB21" i="8"/>
  <c r="AK16" i="8"/>
  <c r="AN5" i="8"/>
  <c r="AQ23" i="8"/>
  <c r="AN7" i="8"/>
  <c r="AL11" i="8"/>
  <c r="AU4" i="8"/>
  <c r="AT18" i="8"/>
  <c r="BA90" i="10"/>
  <c r="AO26" i="8"/>
  <c r="AP81" i="8"/>
  <c r="AN8" i="8"/>
  <c r="AM123" i="10"/>
  <c r="AR60" i="10"/>
  <c r="AN16" i="10"/>
  <c r="AN4" i="9"/>
  <c r="AP114" i="8"/>
  <c r="AY103" i="8"/>
  <c r="AX93" i="8"/>
  <c r="BA86" i="8"/>
  <c r="BD78" i="8"/>
  <c r="AL72" i="8"/>
  <c r="AP64" i="8"/>
  <c r="AK60" i="8"/>
  <c r="AW56" i="8"/>
  <c r="BA50" i="8"/>
  <c r="AZ47" i="8"/>
  <c r="AQ45" i="8"/>
  <c r="BC41" i="8"/>
  <c r="AW39" i="8"/>
  <c r="AS37" i="8"/>
  <c r="AO34" i="8"/>
  <c r="AQ28" i="8"/>
  <c r="AQ25" i="8"/>
  <c r="BE18" i="8"/>
  <c r="AQ14" i="8"/>
  <c r="AQ7" i="8"/>
  <c r="AO25" i="8"/>
  <c r="AJ5" i="8"/>
  <c r="AS15" i="8"/>
  <c r="AO12" i="8"/>
  <c r="AK7" i="10"/>
  <c r="BA23" i="10"/>
  <c r="AU115" i="10"/>
  <c r="AW53" i="10"/>
  <c r="AZ14" i="10"/>
  <c r="AX123" i="8"/>
  <c r="AM113" i="8"/>
  <c r="AY102" i="8"/>
  <c r="AW93" i="8"/>
  <c r="AZ86" i="8"/>
  <c r="BC78" i="8"/>
  <c r="AK72" i="8"/>
  <c r="AO64" i="8"/>
  <c r="BD59" i="8"/>
  <c r="AV56" i="8"/>
  <c r="AQ50" i="8"/>
  <c r="AX47" i="8"/>
  <c r="AO45" i="8"/>
  <c r="BB41" i="8"/>
  <c r="AV39" i="8"/>
  <c r="AR37" i="8"/>
  <c r="AN34" i="8"/>
  <c r="BE31" i="8"/>
  <c r="BD29" i="8"/>
  <c r="AP28" i="8"/>
  <c r="AP25" i="8"/>
  <c r="AR23" i="8"/>
  <c r="AT11" i="8"/>
  <c r="AO14" i="8"/>
  <c r="AK7" i="8"/>
  <c r="AX18" i="8"/>
  <c r="AT8" i="8"/>
  <c r="AO15" i="8"/>
  <c r="AU38" i="8"/>
  <c r="AZ13" i="8"/>
  <c r="AP6" i="8"/>
  <c r="AU4" i="10"/>
  <c r="BE54" i="8"/>
  <c r="AU13" i="8"/>
  <c r="AU114" i="10"/>
  <c r="AW52" i="10"/>
  <c r="AW14" i="10"/>
  <c r="AT123" i="8"/>
  <c r="AK113" i="8"/>
  <c r="AW102" i="8"/>
  <c r="AV93" i="8"/>
  <c r="AY86" i="8"/>
  <c r="BB78" i="8"/>
  <c r="BE71" i="8"/>
  <c r="AN64" i="8"/>
  <c r="AY59" i="8"/>
  <c r="AU56" i="8"/>
  <c r="AO50" i="8"/>
  <c r="AW47" i="8"/>
  <c r="AN45" i="8"/>
  <c r="BA41" i="8"/>
  <c r="AU39" i="8"/>
  <c r="AQ37" i="8"/>
  <c r="AM34" i="8"/>
  <c r="BD31" i="8"/>
  <c r="BD15" i="8"/>
  <c r="AW12" i="8"/>
  <c r="AR12" i="8"/>
  <c r="BA13" i="8"/>
  <c r="AT58" i="8"/>
  <c r="AN15" i="8"/>
  <c r="AK98" i="8"/>
  <c r="AO6" i="8"/>
  <c r="AN36" i="8"/>
  <c r="AN4" i="8"/>
  <c r="AS114" i="10"/>
  <c r="AU52" i="10"/>
  <c r="AV14" i="10"/>
  <c r="AS123" i="8"/>
  <c r="BE112" i="8"/>
  <c r="AV102" i="8"/>
  <c r="AV92" i="8"/>
  <c r="AY85" i="8"/>
  <c r="BB77" i="8"/>
  <c r="BE70" i="8"/>
  <c r="AM64" i="8"/>
  <c r="AX59" i="8"/>
  <c r="AP56" i="8"/>
  <c r="AM50" i="8"/>
  <c r="AU47" i="8"/>
  <c r="AM45" i="8"/>
  <c r="AQ41" i="8"/>
  <c r="AK39" i="8"/>
  <c r="AP37" i="8"/>
  <c r="AL34" i="8"/>
  <c r="BC31" i="8"/>
  <c r="BA29" i="8"/>
  <c r="BB26" i="8"/>
  <c r="AN25" i="8"/>
  <c r="AO23" i="8"/>
  <c r="AY21" i="8"/>
  <c r="BA18" i="8"/>
  <c r="AQ17" i="8"/>
  <c r="BA15" i="8"/>
  <c r="AN14" i="8"/>
  <c r="AZ12" i="8"/>
  <c r="AR11" i="8"/>
  <c r="AL7" i="8"/>
  <c r="AL5" i="8"/>
  <c r="AL3" i="8"/>
  <c r="AP11" i="8"/>
  <c r="BE13" i="8"/>
  <c r="AP15" i="8"/>
  <c r="AX67" i="8"/>
  <c r="AQ8" i="8"/>
  <c r="AV67" i="8"/>
  <c r="BC30" i="8"/>
  <c r="BB57" i="8"/>
  <c r="BA28" i="8"/>
  <c r="AX108" i="10"/>
  <c r="AY43" i="10"/>
  <c r="BC12" i="10"/>
  <c r="AP122" i="8"/>
  <c r="BB111" i="8"/>
  <c r="AV101" i="8"/>
  <c r="AU92" i="8"/>
  <c r="AX85" i="8"/>
  <c r="BA77" i="8"/>
  <c r="BD70" i="8"/>
  <c r="AT63" i="8"/>
  <c r="AW59" i="8"/>
  <c r="AO56" i="8"/>
  <c r="AL50" i="8"/>
  <c r="AT47" i="8"/>
  <c r="AL45" i="8"/>
  <c r="AO41" i="8"/>
  <c r="BD38" i="8"/>
  <c r="AO37" i="8"/>
  <c r="AK34" i="8"/>
  <c r="BB31" i="8"/>
  <c r="AZ29" i="8"/>
  <c r="AZ26" i="8"/>
  <c r="AM25" i="8"/>
  <c r="AN23" i="8"/>
  <c r="AX21" i="8"/>
  <c r="AZ18" i="8"/>
  <c r="AP17" i="8"/>
  <c r="AV15" i="8"/>
  <c r="AM14" i="8"/>
  <c r="AY12" i="8"/>
  <c r="AJ7" i="8"/>
  <c r="AV6" i="8"/>
  <c r="AK21" i="8"/>
  <c r="AM99" i="8"/>
  <c r="BE42" i="8"/>
  <c r="AO24" i="8"/>
  <c r="AV66" i="8"/>
  <c r="AN24" i="8"/>
  <c r="AX107" i="10"/>
  <c r="AY42" i="10"/>
  <c r="BA12" i="10"/>
  <c r="AN122" i="8"/>
  <c r="AZ111" i="8"/>
  <c r="AT101" i="8"/>
  <c r="AT92" i="8"/>
  <c r="AW85" i="8"/>
  <c r="AZ77" i="8"/>
  <c r="BC70" i="8"/>
  <c r="AR63" i="8"/>
  <c r="AV59" i="8"/>
  <c r="AN56" i="8"/>
  <c r="AK50" i="8"/>
  <c r="AS47" i="8"/>
  <c r="AW44" i="8"/>
  <c r="AM41" i="8"/>
  <c r="BB38" i="8"/>
  <c r="AZ36" i="8"/>
  <c r="BE33" i="8"/>
  <c r="BA31" i="8"/>
  <c r="AY29" i="8"/>
  <c r="AX26" i="8"/>
  <c r="AL25" i="8"/>
  <c r="AM23" i="8"/>
  <c r="AW21" i="8"/>
  <c r="AY18" i="8"/>
  <c r="AO17" i="8"/>
  <c r="AU15" i="8"/>
  <c r="AL14" i="8"/>
  <c r="AX12" i="8"/>
  <c r="AO11" i="8"/>
  <c r="AM17" i="8"/>
  <c r="BB13" i="8"/>
  <c r="AR83" i="8"/>
  <c r="AS75" i="8"/>
  <c r="BC28" i="8"/>
  <c r="AS74" i="8"/>
  <c r="AT16" i="8"/>
  <c r="AV107" i="10"/>
  <c r="AW42" i="10"/>
  <c r="AZ12" i="10"/>
  <c r="AM122" i="8"/>
  <c r="AY111" i="8"/>
  <c r="AS101" i="8"/>
  <c r="AS92" i="8"/>
  <c r="AV85" i="8"/>
  <c r="AY77" i="8"/>
  <c r="BB70" i="8"/>
  <c r="AM63" i="8"/>
  <c r="AL59" i="8"/>
  <c r="AM56" i="8"/>
  <c r="BA49" i="8"/>
  <c r="AR47" i="8"/>
  <c r="AU44" i="8"/>
  <c r="AL41" i="8"/>
  <c r="BA38" i="8"/>
  <c r="AX36" i="8"/>
  <c r="BD33" i="8"/>
  <c r="AZ31" i="8"/>
  <c r="AX29" i="8"/>
  <c r="AW26" i="8"/>
  <c r="AK25" i="8"/>
  <c r="AL23" i="8"/>
  <c r="AT24" i="8"/>
  <c r="AU46" i="8"/>
  <c r="AQ24" i="8"/>
  <c r="BC23" i="10"/>
  <c r="AN26" i="8"/>
  <c r="AZ98" i="10"/>
  <c r="BB35" i="10"/>
  <c r="AR11" i="10"/>
  <c r="BE120" i="8"/>
  <c r="AW109" i="8"/>
  <c r="AS100" i="8"/>
  <c r="AS91" i="8"/>
  <c r="AV84" i="8"/>
  <c r="AY76" i="8"/>
  <c r="BB69" i="8"/>
  <c r="AL63" i="8"/>
  <c r="BE58" i="8"/>
  <c r="AX55" i="8"/>
  <c r="AZ49" i="8"/>
  <c r="BC46" i="8"/>
  <c r="AS44" i="8"/>
  <c r="AK41" i="8"/>
  <c r="AZ38" i="8"/>
  <c r="AV36" i="8"/>
  <c r="AT33" i="8"/>
  <c r="AY31" i="8"/>
  <c r="AW29" i="8"/>
  <c r="AV26" i="8"/>
  <c r="BE24" i="8"/>
  <c r="AK23" i="8"/>
  <c r="AU21" i="8"/>
  <c r="AW18" i="8"/>
  <c r="AV8" i="8"/>
  <c r="AS8" i="8"/>
  <c r="AP108" i="8"/>
  <c r="AX40" i="8"/>
  <c r="AL15" i="8"/>
  <c r="AM107" i="8"/>
  <c r="AZ97" i="10"/>
  <c r="BB34" i="10"/>
  <c r="AP11" i="10"/>
  <c r="BC120" i="8"/>
  <c r="AU109" i="8"/>
  <c r="AQ100" i="8"/>
  <c r="AR91" i="8"/>
  <c r="AU84" i="8"/>
  <c r="AX76" i="8"/>
  <c r="BA69" i="8"/>
  <c r="AK63" i="8"/>
  <c r="BC58" i="8"/>
  <c r="AV55" i="8"/>
  <c r="AY49" i="8"/>
  <c r="BA46" i="8"/>
  <c r="AR44" i="8"/>
  <c r="BD40" i="8"/>
  <c r="AY38" i="8"/>
  <c r="AU36" i="8"/>
  <c r="AR33" i="8"/>
  <c r="AX31" i="8"/>
  <c r="AV29" i="8"/>
  <c r="AU26" i="8"/>
  <c r="BD24" i="8"/>
  <c r="BE22" i="8"/>
  <c r="AM21" i="8"/>
  <c r="AV18" i="8"/>
  <c r="AL17" i="8"/>
  <c r="AR15" i="8"/>
  <c r="BD13" i="8"/>
  <c r="AU12" i="8"/>
  <c r="AU8" i="8"/>
  <c r="AU6" i="8"/>
  <c r="AT6" i="8"/>
  <c r="AR8" i="8"/>
  <c r="AL44" i="8"/>
  <c r="AR29" i="8"/>
  <c r="AQ4" i="8"/>
  <c r="AK55" i="8"/>
  <c r="AY22" i="8"/>
  <c r="BE97" i="8"/>
  <c r="AX22" i="8"/>
  <c r="AX97" i="10"/>
  <c r="AZ34" i="10"/>
  <c r="AO11" i="10"/>
  <c r="BB120" i="8"/>
  <c r="AT109" i="8"/>
  <c r="AP100" i="8"/>
  <c r="AQ91" i="8"/>
  <c r="AT84" i="8"/>
  <c r="AW76" i="8"/>
  <c r="AZ69" i="8"/>
  <c r="BE62" i="8"/>
  <c r="BA58" i="8"/>
  <c r="AT55" i="8"/>
  <c r="AX49" i="8"/>
  <c r="AY46" i="8"/>
  <c r="AQ44" i="8"/>
  <c r="BC40" i="8"/>
  <c r="AX38" i="8"/>
  <c r="AT36" i="8"/>
  <c r="AP33" i="8"/>
  <c r="AP31" i="8"/>
  <c r="AU29" i="8"/>
  <c r="AT26" i="8"/>
  <c r="AV24" i="8"/>
  <c r="BD22" i="8"/>
  <c r="AL21" i="8"/>
  <c r="BC13" i="8"/>
  <c r="AM12" i="8"/>
  <c r="AM55" i="8"/>
  <c r="AR18" i="8"/>
  <c r="AN107" i="8"/>
  <c r="AO4" i="8"/>
  <c r="AQ46" i="8"/>
  <c r="BC91" i="10"/>
  <c r="AL29" i="10"/>
  <c r="AO7" i="10"/>
  <c r="AY119" i="8"/>
  <c r="AS108" i="8"/>
  <c r="AP99" i="8"/>
  <c r="AP91" i="8"/>
  <c r="AS84" i="8"/>
  <c r="AV76" i="8"/>
  <c r="AY69" i="8"/>
  <c r="AQ62" i="8"/>
  <c r="AV58" i="8"/>
  <c r="AS55" i="8"/>
  <c r="AN49" i="8"/>
  <c r="AX46" i="8"/>
  <c r="AO44" i="8"/>
  <c r="BB40" i="8"/>
  <c r="AW38" i="8"/>
  <c r="AS36" i="8"/>
  <c r="AO33" i="8"/>
  <c r="AN31" i="8"/>
  <c r="AY16" i="8"/>
  <c r="AQ36" i="8"/>
  <c r="BE30" i="8"/>
  <c r="BC20" i="8"/>
  <c r="AQ6" i="8"/>
  <c r="AK83" i="10"/>
  <c r="AZ48" i="8"/>
  <c r="BC90" i="10"/>
  <c r="AQ28" i="10"/>
  <c r="AM7" i="10"/>
  <c r="AW119" i="8"/>
  <c r="AQ108" i="8"/>
  <c r="AN99" i="8"/>
  <c r="AP90" i="8"/>
  <c r="AS83" i="8"/>
  <c r="AV75" i="8"/>
  <c r="AY67" i="8"/>
  <c r="AO62" i="8"/>
  <c r="AU58" i="8"/>
  <c r="AR55" i="8"/>
  <c r="AL49" i="8"/>
  <c r="AW46" i="8"/>
  <c r="AN44" i="8"/>
  <c r="BA40" i="8"/>
  <c r="AV38" i="8"/>
  <c r="AR36" i="8"/>
  <c r="AN33" i="8"/>
  <c r="AL31" i="8"/>
  <c r="AS29" i="8"/>
  <c r="AR26" i="8"/>
  <c r="AR24" i="8"/>
  <c r="BB22" i="8"/>
  <c r="BD20" i="8"/>
  <c r="AS18" i="8"/>
  <c r="AR4" i="8"/>
  <c r="AM33" i="8"/>
  <c r="AW16" i="8"/>
  <c r="AY13" i="8"/>
  <c r="AM90" i="8"/>
  <c r="AO8" i="8"/>
  <c r="AR38" i="8"/>
  <c r="AN6" i="8"/>
  <c r="AK84" i="10"/>
  <c r="AM24" i="10"/>
  <c r="AW4" i="10"/>
  <c r="AS118" i="8"/>
  <c r="AP107" i="8"/>
  <c r="AM98" i="8"/>
  <c r="AN90" i="8"/>
  <c r="AQ83" i="8"/>
  <c r="AT75" i="8"/>
  <c r="AW67" i="8"/>
  <c r="BD61" i="8"/>
  <c r="AS58" i="8"/>
  <c r="AL55" i="8"/>
  <c r="BD48" i="8"/>
  <c r="AT46" i="8"/>
  <c r="AK44" i="8"/>
  <c r="AY40" i="8"/>
  <c r="AT38" i="8"/>
  <c r="AP36" i="8"/>
  <c r="AL33" i="8"/>
  <c r="BD30" i="8"/>
  <c r="BE28" i="8"/>
  <c r="AP26" i="8"/>
  <c r="AP24" i="8"/>
  <c r="AZ22" i="8"/>
  <c r="BB20" i="8"/>
  <c r="AQ18" i="8"/>
  <c r="AV16" i="8"/>
  <c r="AM15" i="8"/>
  <c r="AK12" i="8"/>
  <c r="AR46" i="8"/>
  <c r="BA20" i="8"/>
  <c r="BB61" i="8"/>
  <c r="AZ20" i="8"/>
</calcChain>
</file>

<file path=xl/sharedStrings.xml><?xml version="1.0" encoding="utf-8"?>
<sst xmlns="http://schemas.openxmlformats.org/spreadsheetml/2006/main" count="994" uniqueCount="221">
  <si>
    <t>Scenarios</t>
  </si>
  <si>
    <t>demoStat</t>
  </si>
  <si>
    <t>AltFuels</t>
  </si>
  <si>
    <t>BAP</t>
  </si>
  <si>
    <t>BAU</t>
  </si>
  <si>
    <t>Elec</t>
  </si>
  <si>
    <t>Hybrid</t>
  </si>
  <si>
    <t>Employment</t>
  </si>
  <si>
    <t>Households</t>
  </si>
  <si>
    <t>Personal Vehicles</t>
  </si>
  <si>
    <t>Population</t>
  </si>
  <si>
    <t>Units</t>
  </si>
  <si>
    <t>Numbers</t>
  </si>
  <si>
    <t>Elec Demographics Baseline Year-Target Year</t>
  </si>
  <si>
    <t>AltFuels Demographics Baseline Year-Target Year</t>
  </si>
  <si>
    <t>Hybrid Demographics Baseline Year-Target Year</t>
  </si>
  <si>
    <t>BAP Demographics Baseline Year-Target Year</t>
  </si>
  <si>
    <t>BAU Demographics Baseline Year-Target Year</t>
  </si>
  <si>
    <t>MTonCO2e</t>
  </si>
  <si>
    <t>Total Emissions Baseline Year-Target Year</t>
  </si>
  <si>
    <t>aggSubSectorsEm</t>
  </si>
  <si>
    <t>Total</t>
  </si>
  <si>
    <t>Agriculture</t>
  </si>
  <si>
    <t>Commercial</t>
  </si>
  <si>
    <t>Energy Production</t>
  </si>
  <si>
    <t>Fugitive</t>
  </si>
  <si>
    <t>Industrial</t>
  </si>
  <si>
    <t>Residential</t>
  </si>
  <si>
    <t>Transportation</t>
  </si>
  <si>
    <t>Elec Total Emissions by Sector Baseline Year-Target Year</t>
  </si>
  <si>
    <t>Elec Total Emissions by Sector Baseline Year and Target Year</t>
  </si>
  <si>
    <t>AltFuels Total Emissions by Sector Baseline Year-Target Year</t>
  </si>
  <si>
    <t>AltFuels Total Emissions by Sector Baseline Year and Target Year</t>
  </si>
  <si>
    <t>Hybrid Total Emissions by Sector Baseline Year-Target Year</t>
  </si>
  <si>
    <t>Hybrid Total Emissions by Sector Baseline Year and Target Year</t>
  </si>
  <si>
    <t>BAP Total Emissions by Sector Baseline Year-Target Year</t>
  </si>
  <si>
    <t>BAP Total Emissions by Sector Baseline Year and Target Year</t>
  </si>
  <si>
    <t>BAU Total Emissions by Sector Baseline Year-Target Year</t>
  </si>
  <si>
    <t>BAU Total Emissions by Sector Baseline Year and Target Year</t>
  </si>
  <si>
    <t>fuelTypeAgg</t>
  </si>
  <si>
    <t>Coal</t>
  </si>
  <si>
    <t>Diesel</t>
  </si>
  <si>
    <t>Fuel Oil</t>
  </si>
  <si>
    <t>Gasoline</t>
  </si>
  <si>
    <t>Grid Electricity</t>
  </si>
  <si>
    <t>Jet Fuel</t>
  </si>
  <si>
    <t>Natural Gas</t>
  </si>
  <si>
    <t>Non Energy</t>
  </si>
  <si>
    <t>Other</t>
  </si>
  <si>
    <t>Propane</t>
  </si>
  <si>
    <t>RNG</t>
  </si>
  <si>
    <t>Wood</t>
  </si>
  <si>
    <t>Elec Total Emissions by Fuel Type Baseline Year-Target Year</t>
  </si>
  <si>
    <t>Elec Total Emissions by Fuel Type Baseline Year and Target Year</t>
  </si>
  <si>
    <t>AltFuels Total Emissions by Fuel Type Baseline Year-Target Year</t>
  </si>
  <si>
    <t>AltFuels Total Emissions by Fuel Type Baseline Year and Target Year</t>
  </si>
  <si>
    <t>Hybrid Total Emissions by Fuel Type Baseline Year-Target Year</t>
  </si>
  <si>
    <t>Hybrid Total Emissions by Fuel Type Baseline Year and Target Year</t>
  </si>
  <si>
    <t>BAP Total Emissions by Fuel Type Baseline Year-Target Year</t>
  </si>
  <si>
    <t>BAP Total Emissions by Fuel Type Baseline Year and Target Year</t>
  </si>
  <si>
    <t>BAU Total Emissions by Fuel Type Baseline Year-Target Year</t>
  </si>
  <si>
    <t>BAU Total Emissions by Fuel Type Baseline Year and Target Year</t>
  </si>
  <si>
    <t>Elec Total Emissions by Sector by Fuel Type Baseline Year-Target Year</t>
  </si>
  <si>
    <t>AltFuels Total Emissions by Sector by Fuel Type Baseline Year-Target Year</t>
  </si>
  <si>
    <t>Hybrid Total Emissions by Sector by Fuel Type Baseline Year-Target Year</t>
  </si>
  <si>
    <t>BAP Total Emissions by Sector by Fuel Type Baseline Year-Target Year</t>
  </si>
  <si>
    <t>BAU Total Emissions by Sector by Fuel Type Baseline Year-Target Year</t>
  </si>
  <si>
    <t>MTonCO2e/person</t>
  </si>
  <si>
    <t>Per Capita Emissions Baseline Year-Target Year</t>
  </si>
  <si>
    <t>MMBTU</t>
  </si>
  <si>
    <t>Total Energy Baseline Year-Target Year</t>
  </si>
  <si>
    <t>aggSubSectorsEnr</t>
  </si>
  <si>
    <t>Elec Total Energy by Sector Baseline Year-Target Year</t>
  </si>
  <si>
    <t>Elec Total Energy by Sector Baseline Year and Target Year</t>
  </si>
  <si>
    <t>AltFuels Total Energy by Sector Baseline Year-Target Year</t>
  </si>
  <si>
    <t>AltFuels Total Energy by Sector Baseline Year and Target Year</t>
  </si>
  <si>
    <t>Hybrid Total Energy by Sector Baseline Year-Target Year</t>
  </si>
  <si>
    <t>Hybrid Total Energy by Sector Baseline Year and Target Year</t>
  </si>
  <si>
    <t>BAP Total Energy by Sector Baseline Year-Target Year</t>
  </si>
  <si>
    <t>BAP Total Energy by Sector Baseline Year and Target Year</t>
  </si>
  <si>
    <t>BAU Total Energy by Sector Baseline Year-Target Year</t>
  </si>
  <si>
    <t>BAU Total Energy by Sector Baseline Year and Target Year</t>
  </si>
  <si>
    <t>aggStationaryEndUse</t>
  </si>
  <si>
    <t>Industrial Processes</t>
  </si>
  <si>
    <t>Lighting</t>
  </si>
  <si>
    <t>Major Appliances</t>
  </si>
  <si>
    <t>Plug Load</t>
  </si>
  <si>
    <t>Space Cooling</t>
  </si>
  <si>
    <t>Space Heating</t>
  </si>
  <si>
    <t>Water Heating</t>
  </si>
  <si>
    <t>Elec Total Energy by End Use Baseline Year-Target Year</t>
  </si>
  <si>
    <t>Elec Total Energy by End Use Baseline Year and Target Year</t>
  </si>
  <si>
    <t>AltFuels Total Energy by End Use Baseline Year-Target Year</t>
  </si>
  <si>
    <t>AltFuels Total Energy by End Use Baseline Year and Target Year</t>
  </si>
  <si>
    <t>Hybrid Total Energy by End Use Baseline Year-Target Year</t>
  </si>
  <si>
    <t>Hybrid Total Energy by End Use Baseline Year and Target Year</t>
  </si>
  <si>
    <t>BAP Total Energy by End Use Baseline Year-Target Year</t>
  </si>
  <si>
    <t>BAP Total Energy by End Use Baseline Year and Target Year</t>
  </si>
  <si>
    <t>BAU Total Energy by End Use Baseline Year-Target Year</t>
  </si>
  <si>
    <t>BAU Total Energy by End Use Baseline Year and Target Year</t>
  </si>
  <si>
    <t>Chp</t>
  </si>
  <si>
    <t>Geothermal</t>
  </si>
  <si>
    <t>Hydrogen</t>
  </si>
  <si>
    <t>Local Electricity</t>
  </si>
  <si>
    <t>Solar</t>
  </si>
  <si>
    <t>Uranium</t>
  </si>
  <si>
    <t>Water</t>
  </si>
  <si>
    <t>Wind</t>
  </si>
  <si>
    <t>Elec Total Energy by Fuel Type Baseline Year-Target Year</t>
  </si>
  <si>
    <t>Elec Total Energy by Fuel Type Baseline Year and Target Year</t>
  </si>
  <si>
    <t>AltFuels Total Energy by Fuel Type Baseline Year-Target Year</t>
  </si>
  <si>
    <t>AltFuels Total Energy by Fuel Type Baseline Year and Target Year</t>
  </si>
  <si>
    <t>Hybrid Total Energy by Fuel Type Baseline Year-Target Year</t>
  </si>
  <si>
    <t>Hybrid Total Energy by Fuel Type Baseline Year and Target Year</t>
  </si>
  <si>
    <t>BAP Total Energy by Fuel Type Baseline Year-Target Year</t>
  </si>
  <si>
    <t>BAP Total Energy by Fuel Type Baseline Year and Target Year</t>
  </si>
  <si>
    <t>BAU Total Energy by Fuel Type Baseline Year-Target Year</t>
  </si>
  <si>
    <t>BAU Total Energy by Fuel Type Baseline Year and Target Year</t>
  </si>
  <si>
    <t>Elec Total Energy by Sector by Fuel Type Baseline Year-Target Year</t>
  </si>
  <si>
    <t>AltFuels Total Energy by Sector by Fuel Type Baseline Year-Target Year</t>
  </si>
  <si>
    <t>Hybrid Total Energy by Sector by Fuel Type Baseline Year-Target Year</t>
  </si>
  <si>
    <t>BAP Total Energy by Sector by Fuel Type Baseline Year-Target Year</t>
  </si>
  <si>
    <t>BAU Total Energy by Sector by Fuel Type Baseline Year-Target Year</t>
  </si>
  <si>
    <t>MMBTU/person</t>
  </si>
  <si>
    <t>Per Capita Energy Baseline Year-Target Year</t>
  </si>
  <si>
    <t>Transportation Energy Baseline Year-Target Year</t>
  </si>
  <si>
    <t>transFuelTypeChart</t>
  </si>
  <si>
    <t>Gas</t>
  </si>
  <si>
    <t>Elec Transportation Energy by Fuel Type Baseline Year-Target Year</t>
  </si>
  <si>
    <t>Elec Transportation Energy by Fuel Type Baseline Year and Target Year</t>
  </si>
  <si>
    <t>AltFuels Transportation Energy by Fuel Type Baseline Year-Target Year</t>
  </si>
  <si>
    <t>AltFuels Transportation Energy by Fuel Type Baseline Year and Target Year</t>
  </si>
  <si>
    <t>Hybrid Transportation Energy by Fuel Type Baseline Year-Target Year</t>
  </si>
  <si>
    <t>Hybrid Transportation Energy by Fuel Type Baseline Year and Target Year</t>
  </si>
  <si>
    <t>BAP Transportation Energy by Fuel Type Baseline Year-Target Year</t>
  </si>
  <si>
    <t>BAP Transportation Energy by Fuel Type Baseline Year and Target Year</t>
  </si>
  <si>
    <t>BAU Transportation Energy by Fuel Type Baseline Year-Target Year</t>
  </si>
  <si>
    <t>BAU Transportation Energy by Fuel Type Baseline Year and Target Year</t>
  </si>
  <si>
    <t>transVehicleTypeChart</t>
  </si>
  <si>
    <t>Car</t>
  </si>
  <si>
    <t>Heavy Truck</t>
  </si>
  <si>
    <t>Light Truck</t>
  </si>
  <si>
    <t>Urban Bus</t>
  </si>
  <si>
    <t>Elec Transportation Energy by Vehicle Type Baseline Year-Target Year</t>
  </si>
  <si>
    <t>Elec Transportation Energy by Vehicle Type Baseline Year and Target Year</t>
  </si>
  <si>
    <t>AltFuels Transportation Energy by Vehicle Type Baseline Year-Target Year</t>
  </si>
  <si>
    <t>AltFuels Transportation Energy by Vehicle Type Baseline Year and Target Year</t>
  </si>
  <si>
    <t>Hybrid Transportation Energy by Vehicle Type Baseline Year-Target Year</t>
  </si>
  <si>
    <t>Hybrid Transportation Energy by Vehicle Type Baseline Year and Target Year</t>
  </si>
  <si>
    <t>BAP Transportation Energy by Vehicle Type Baseline Year-Target Year</t>
  </si>
  <si>
    <t>BAP Transportation Energy by Vehicle Type Baseline Year and Target Year</t>
  </si>
  <si>
    <t>BAU Transportation Energy by Vehicle Type Baseline Year-Target Year</t>
  </si>
  <si>
    <t>BAU Transportation Energy by Vehicle Type Baseline Year and Target Year</t>
  </si>
  <si>
    <t>Elec Transportation Energy by Vehicle Type by Fuel Type Baseline Year-Target Year</t>
  </si>
  <si>
    <t>AltFuels Transportation Energy by Vehicle Type by Fuel Type Baseline Year-Target Year</t>
  </si>
  <si>
    <t>Hybrid Transportation Energy by Vehicle Type by Fuel Type Baseline Year-Target Year</t>
  </si>
  <si>
    <t>BAP Transportation Energy by Vehicle Type by Fuel Type Baseline Year-Target Year</t>
  </si>
  <si>
    <t>BAU Transportation Energy by Vehicle Type by Fuel Type Baseline Year-Target Year</t>
  </si>
  <si>
    <t>Transportation Emissions Baseline Year-Target Year</t>
  </si>
  <si>
    <t>Elec Transportation Emissions by Fuel Type Baseline Year-Target Year</t>
  </si>
  <si>
    <t>Elec Transportation Emissions by Fuel Type Baseline Year and Target Year</t>
  </si>
  <si>
    <t>AltFuels Transportation Emissions by Fuel Type Baseline Year-Target Year</t>
  </si>
  <si>
    <t>AltFuels Transportation Emissions by Fuel Type Baseline Year and Target Year</t>
  </si>
  <si>
    <t>Hybrid Transportation Emissions by Fuel Type Baseline Year-Target Year</t>
  </si>
  <si>
    <t>Hybrid Transportation Emissions by Fuel Type Baseline Year and Target Year</t>
  </si>
  <si>
    <t>BAP Transportation Emissions by Fuel Type Baseline Year-Target Year</t>
  </si>
  <si>
    <t>BAP Transportation Emissions by Fuel Type Baseline Year and Target Year</t>
  </si>
  <si>
    <t>BAU Transportation Emissions by Fuel Type Baseline Year-Target Year</t>
  </si>
  <si>
    <t>BAU Transportation Emissions by Fuel Type Baseline Year and Target Year</t>
  </si>
  <si>
    <t>Aviation</t>
  </si>
  <si>
    <t>Marine</t>
  </si>
  <si>
    <t>Rail</t>
  </si>
  <si>
    <t>Elec Transportation Emissions by Vehicle Type Baseline Year-Target Year</t>
  </si>
  <si>
    <t>Elec Transportation Emissions by Vehicle Type Baseline Year and Target Year</t>
  </si>
  <si>
    <t>AltFuels Transportation Emissions by Vehicle Type Baseline Year-Target Year</t>
  </si>
  <si>
    <t>AltFuels Transportation Emissions by Vehicle Type Baseline Year and Target Year</t>
  </si>
  <si>
    <t>Hybrid Transportation Emissions by Vehicle Type Baseline Year-Target Year</t>
  </si>
  <si>
    <t>Hybrid Transportation Emissions by Vehicle Type Baseline Year and Target Year</t>
  </si>
  <si>
    <t>BAP Transportation Emissions by Vehicle Type Baseline Year-Target Year</t>
  </si>
  <si>
    <t>BAP Transportation Emissions by Vehicle Type Baseline Year and Target Year</t>
  </si>
  <si>
    <t>BAU Transportation Emissions by Vehicle Type Baseline Year-Target Year</t>
  </si>
  <si>
    <t>BAU Transportation Emissions by Vehicle Type Baseline Year and Target Year</t>
  </si>
  <si>
    <t>Elec Transportation Emissions by Vehicle Type by Fuel Type Baseline Year-Target Year</t>
  </si>
  <si>
    <t>AltFuels Transportation Emissions by Vehicle Type by Fuel Type Baseline Year-Target Year</t>
  </si>
  <si>
    <t>Hybrid Transportation Emissions by Vehicle Type by Fuel Type Baseline Year-Target Year</t>
  </si>
  <si>
    <t>BAP Transportation Emissions by Vehicle Type by Fuel Type Baseline Year-Target Year</t>
  </si>
  <si>
    <t>BAU Transportation Emissions by Vehicle Type by Fuel Type Baseline Year-Target Year</t>
  </si>
  <si>
    <t>City</t>
  </si>
  <si>
    <t>Washington</t>
  </si>
  <si>
    <t>Model Version</t>
  </si>
  <si>
    <t>_3</t>
  </si>
  <si>
    <t>Date created (Y-M-D)</t>
  </si>
  <si>
    <t>2022-12-19</t>
  </si>
  <si>
    <t>Elec - scenario number</t>
  </si>
  <si>
    <t>AltFuels - scenario number</t>
  </si>
  <si>
    <t>Hybrid - scenario number</t>
  </si>
  <si>
    <t>BAP - scenario number</t>
  </si>
  <si>
    <t>BAU - scenario number</t>
  </si>
  <si>
    <t>Carbon liability</t>
  </si>
  <si>
    <t>Commercial Use Vehicles</t>
  </si>
  <si>
    <t>Industrial Electrification</t>
  </si>
  <si>
    <t>Heat Pumps</t>
  </si>
  <si>
    <t>Residential Decentralized Electricity</t>
  </si>
  <si>
    <t>Industrial Efficiency</t>
  </si>
  <si>
    <t>Building Retrofits</t>
  </si>
  <si>
    <t>Decrease VMT</t>
  </si>
  <si>
    <t>Urban Planning</t>
  </si>
  <si>
    <t>Transit</t>
  </si>
  <si>
    <t>CETA</t>
  </si>
  <si>
    <t>2030 Target</t>
  </si>
  <si>
    <t>2040 Target</t>
  </si>
  <si>
    <t>2050 Target</t>
  </si>
  <si>
    <t>Industrial Hydrogen</t>
  </si>
  <si>
    <t>Residential Hydrogen</t>
  </si>
  <si>
    <t>Green Hydrogen</t>
  </si>
  <si>
    <t>Actions</t>
  </si>
  <si>
    <t>Scenario</t>
  </si>
  <si>
    <t>Emissions eliminated by the action (thousand MTCO2e)</t>
  </si>
  <si>
    <t>Electrification Scenario</t>
  </si>
  <si>
    <t>Hybrid Scenario</t>
  </si>
  <si>
    <t>Alternative Fuels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</si>
</sst>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9" fontId="0" fillId="0" borderId="1" xfId="0" applyNumberFormat="1" applyBorder="1"/>
    <xf numFmtId="0" fontId="1" fillId="0" borderId="1" xfId="0" applyFont="1" applyBorder="1" applyAlignment="1">
      <alignment horizontal="center" vertical="top"/>
    </xf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'Total Emissions'!$A$4</c:f>
              <c:strCache>
                <c:ptCount val="1"/>
                <c:pt idx="0">
                  <c:v>AltFuels</c:v>
                </c:pt>
              </c:strCache>
            </c:strRef>
          </c:tx>
          <c:spPr>
            <a:ln w="15875">
              <a:solidFill>
                <a:srgbClr val="203564"/>
              </a:solidFill>
            </a:ln>
          </c:spPr>
          <c:marker>
            <c:symbol val="none"/>
          </c:marker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Emissions'!$B$4:$AG$4</c:f>
              <c:numCache>
                <c:formatCode>General</c:formatCode>
                <c:ptCount val="32"/>
                <c:pt idx="0">
                  <c:v>106119393.58404119</c:v>
                </c:pt>
                <c:pt idx="1">
                  <c:v>105312188.9726411</c:v>
                </c:pt>
                <c:pt idx="2">
                  <c:v>103585732.330541</c:v>
                </c:pt>
                <c:pt idx="3">
                  <c:v>101944430.1329415</c:v>
                </c:pt>
                <c:pt idx="4">
                  <c:v>99861371.168449998</c:v>
                </c:pt>
                <c:pt idx="5">
                  <c:v>96922045.159549996</c:v>
                </c:pt>
                <c:pt idx="6">
                  <c:v>77786926.773379996</c:v>
                </c:pt>
                <c:pt idx="7">
                  <c:v>73944046.943210006</c:v>
                </c:pt>
                <c:pt idx="8">
                  <c:v>69994857.947799996</c:v>
                </c:pt>
                <c:pt idx="9">
                  <c:v>65982842.726099998</c:v>
                </c:pt>
                <c:pt idx="10">
                  <c:v>61881991.675700001</c:v>
                </c:pt>
                <c:pt idx="11">
                  <c:v>53301995.363399997</c:v>
                </c:pt>
                <c:pt idx="12">
                  <c:v>49683052.007100001</c:v>
                </c:pt>
                <c:pt idx="13">
                  <c:v>46272368.181900002</c:v>
                </c:pt>
                <c:pt idx="14">
                  <c:v>43015895.8314</c:v>
                </c:pt>
                <c:pt idx="15">
                  <c:v>39705202.2434</c:v>
                </c:pt>
                <c:pt idx="16">
                  <c:v>36765886.6065</c:v>
                </c:pt>
                <c:pt idx="17">
                  <c:v>34790834.714299999</c:v>
                </c:pt>
                <c:pt idx="18">
                  <c:v>32875882.145399999</c:v>
                </c:pt>
                <c:pt idx="19">
                  <c:v>31048402.874699999</c:v>
                </c:pt>
                <c:pt idx="20">
                  <c:v>29475909.522700001</c:v>
                </c:pt>
                <c:pt idx="21">
                  <c:v>28045421.192899998</c:v>
                </c:pt>
                <c:pt idx="22">
                  <c:v>27113402.476300001</c:v>
                </c:pt>
                <c:pt idx="23">
                  <c:v>26242263.540800001</c:v>
                </c:pt>
                <c:pt idx="24">
                  <c:v>25435417.9476</c:v>
                </c:pt>
                <c:pt idx="25">
                  <c:v>24683659.076699998</c:v>
                </c:pt>
                <c:pt idx="26">
                  <c:v>22834263.659200002</c:v>
                </c:pt>
                <c:pt idx="27">
                  <c:v>22307173.222399998</c:v>
                </c:pt>
                <c:pt idx="28">
                  <c:v>21827323.315499999</c:v>
                </c:pt>
                <c:pt idx="29">
                  <c:v>21402087.53125589</c:v>
                </c:pt>
                <c:pt idx="30">
                  <c:v>21044590.190973189</c:v>
                </c:pt>
                <c:pt idx="31">
                  <c:v>20708686.433126699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7-489C-A96B-AF808D0DCB9C}"/>
            </c:ext>
          </c:extLst>
        </c:ser>
        <c:ser>
          <c:idx val="1"/>
          <c:order val="1"/>
          <c:marker>
            <c:symbol val="circle"/>
            <c:size val="6"/>
            <c:spPr>
              <a:solidFill>
                <a:srgbClr val="203564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Emissions'!$B$4,'Total Emissions'!$B$2:$AF$2,'Total Emissions'!$AG$4)</c:f>
              <c:numCache>
                <c:formatCode>General</c:formatCode>
                <c:ptCount val="33"/>
                <c:pt idx="0">
                  <c:v>106119393.58404119</c:v>
                </c:pt>
                <c:pt idx="32">
                  <c:v>20708686.433126699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7-489C-A96B-AF808D0DCB9C}"/>
            </c:ext>
          </c:extLst>
        </c:ser>
        <c:ser>
          <c:idx val="2"/>
          <c:order val="2"/>
          <c:tx>
            <c:strRef>
              <c:f>'Total Emissions'!$A$5</c:f>
              <c:strCache>
                <c:ptCount val="1"/>
                <c:pt idx="0">
                  <c:v>BAP</c:v>
                </c:pt>
              </c:strCache>
            </c:strRef>
          </c:tx>
          <c:spPr>
            <a:ln w="15875">
              <a:solidFill>
                <a:srgbClr val="43AD4C"/>
              </a:solidFill>
            </a:ln>
          </c:spPr>
          <c:marker>
            <c:symbol val="none"/>
          </c:marker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Emissions'!$B$5:$AG$5</c:f>
              <c:numCache>
                <c:formatCode>General</c:formatCode>
                <c:ptCount val="32"/>
                <c:pt idx="0">
                  <c:v>106119393.58404119</c:v>
                </c:pt>
                <c:pt idx="1">
                  <c:v>105308854.4726411</c:v>
                </c:pt>
                <c:pt idx="2">
                  <c:v>104536704.84547099</c:v>
                </c:pt>
                <c:pt idx="3">
                  <c:v>103524986.9762115</c:v>
                </c:pt>
                <c:pt idx="4">
                  <c:v>99394126.579641223</c:v>
                </c:pt>
                <c:pt idx="5">
                  <c:v>94812456.467271239</c:v>
                </c:pt>
                <c:pt idx="6">
                  <c:v>76566195.638900995</c:v>
                </c:pt>
                <c:pt idx="7">
                  <c:v>72489597.406441137</c:v>
                </c:pt>
                <c:pt idx="8">
                  <c:v>68439396.983941033</c:v>
                </c:pt>
                <c:pt idx="9">
                  <c:v>64462902.398641668</c:v>
                </c:pt>
                <c:pt idx="10">
                  <c:v>60577604.5662416</c:v>
                </c:pt>
                <c:pt idx="11">
                  <c:v>53893503.728341199</c:v>
                </c:pt>
                <c:pt idx="12">
                  <c:v>51855978.320141397</c:v>
                </c:pt>
                <c:pt idx="13">
                  <c:v>49973297.171940997</c:v>
                </c:pt>
                <c:pt idx="14">
                  <c:v>48194019.093841702</c:v>
                </c:pt>
                <c:pt idx="15">
                  <c:v>46354500.315841101</c:v>
                </c:pt>
                <c:pt idx="16">
                  <c:v>44801414.9605418</c:v>
                </c:pt>
                <c:pt idx="17">
                  <c:v>43260948.198341802</c:v>
                </c:pt>
                <c:pt idx="18">
                  <c:v>41778078.685341001</c:v>
                </c:pt>
                <c:pt idx="19">
                  <c:v>40371041.998041101</c:v>
                </c:pt>
                <c:pt idx="20">
                  <c:v>39251698.006241098</c:v>
                </c:pt>
                <c:pt idx="21">
                  <c:v>38250452.2592417</c:v>
                </c:pt>
                <c:pt idx="22">
                  <c:v>36796736.744541697</c:v>
                </c:pt>
                <c:pt idx="23">
                  <c:v>35428353.448841497</c:v>
                </c:pt>
                <c:pt idx="24">
                  <c:v>34143512.780241802</c:v>
                </c:pt>
                <c:pt idx="25">
                  <c:v>32919978.6881418</c:v>
                </c:pt>
                <c:pt idx="26">
                  <c:v>31456568.8826917</c:v>
                </c:pt>
                <c:pt idx="27">
                  <c:v>30504104.960321099</c:v>
                </c:pt>
                <c:pt idx="28">
                  <c:v>29597878.281161301</c:v>
                </c:pt>
                <c:pt idx="29">
                  <c:v>28728625.9840919</c:v>
                </c:pt>
                <c:pt idx="30">
                  <c:v>27882920.0022314</c:v>
                </c:pt>
                <c:pt idx="31">
                  <c:v>27072937.444561299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7-489C-A96B-AF808D0DCB9C}"/>
            </c:ext>
          </c:extLst>
        </c:ser>
        <c:ser>
          <c:idx val="3"/>
          <c:order val="3"/>
          <c:marker>
            <c:symbol val="circle"/>
            <c:size val="6"/>
            <c:spPr>
              <a:solidFill>
                <a:srgbClr val="43AD4C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Emissions'!$B$5,'Total Emissions'!$B$2:$AF$2,'Total Emissions'!$AG$5)</c:f>
              <c:numCache>
                <c:formatCode>General</c:formatCode>
                <c:ptCount val="33"/>
                <c:pt idx="0">
                  <c:v>106119393.58404119</c:v>
                </c:pt>
                <c:pt idx="32">
                  <c:v>27072937.444561299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7-489C-A96B-AF808D0DCB9C}"/>
            </c:ext>
          </c:extLst>
        </c:ser>
        <c:ser>
          <c:idx val="4"/>
          <c:order val="4"/>
          <c:tx>
            <c:strRef>
              <c:f>'Total Emissions'!$A$6</c:f>
              <c:strCache>
                <c:ptCount val="1"/>
                <c:pt idx="0">
                  <c:v>BAU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Emissions'!$B$6:$AG$6</c:f>
              <c:numCache>
                <c:formatCode>General</c:formatCode>
                <c:ptCount val="32"/>
                <c:pt idx="0">
                  <c:v>106119393.58404119</c:v>
                </c:pt>
                <c:pt idx="1">
                  <c:v>105620672.93764129</c:v>
                </c:pt>
                <c:pt idx="2">
                  <c:v>105763423.27564131</c:v>
                </c:pt>
                <c:pt idx="3">
                  <c:v>105711258.6226417</c:v>
                </c:pt>
                <c:pt idx="4">
                  <c:v>105735398.1496409</c:v>
                </c:pt>
                <c:pt idx="5">
                  <c:v>105522943.6606413</c:v>
                </c:pt>
                <c:pt idx="6">
                  <c:v>104502387.9816411</c:v>
                </c:pt>
                <c:pt idx="7">
                  <c:v>103897888.2486413</c:v>
                </c:pt>
                <c:pt idx="8">
                  <c:v>103232798.9486412</c:v>
                </c:pt>
                <c:pt idx="9">
                  <c:v>102575047.5126418</c:v>
                </c:pt>
                <c:pt idx="10">
                  <c:v>102008999.89464121</c:v>
                </c:pt>
                <c:pt idx="11">
                  <c:v>101704651.7736415</c:v>
                </c:pt>
                <c:pt idx="12">
                  <c:v>101552514.67064171</c:v>
                </c:pt>
                <c:pt idx="13">
                  <c:v>101554188.65164091</c:v>
                </c:pt>
                <c:pt idx="14">
                  <c:v>101629616.53164101</c:v>
                </c:pt>
                <c:pt idx="15">
                  <c:v>101585086.960641</c:v>
                </c:pt>
                <c:pt idx="16">
                  <c:v>101706065.2636418</c:v>
                </c:pt>
                <c:pt idx="17">
                  <c:v>101774895.1426415</c:v>
                </c:pt>
                <c:pt idx="18">
                  <c:v>101841749.65764099</c:v>
                </c:pt>
                <c:pt idx="19">
                  <c:v>101921334.2006413</c:v>
                </c:pt>
                <c:pt idx="20">
                  <c:v>102032059.8576414</c:v>
                </c:pt>
                <c:pt idx="21">
                  <c:v>102170252.4936412</c:v>
                </c:pt>
                <c:pt idx="22">
                  <c:v>102279988.0496414</c:v>
                </c:pt>
                <c:pt idx="23">
                  <c:v>102380820.7196416</c:v>
                </c:pt>
                <c:pt idx="24">
                  <c:v>102476817.39064179</c:v>
                </c:pt>
                <c:pt idx="25">
                  <c:v>102577259.72164109</c:v>
                </c:pt>
                <c:pt idx="26">
                  <c:v>102689493.6776413</c:v>
                </c:pt>
                <c:pt idx="27">
                  <c:v>102809203.2816411</c:v>
                </c:pt>
                <c:pt idx="28">
                  <c:v>102951061.1436411</c:v>
                </c:pt>
                <c:pt idx="29">
                  <c:v>103116002.4786412</c:v>
                </c:pt>
                <c:pt idx="30">
                  <c:v>103301282.3526416</c:v>
                </c:pt>
                <c:pt idx="31">
                  <c:v>103496275.5246412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F7-489C-A96B-AF808D0DCB9C}"/>
            </c:ext>
          </c:extLst>
        </c:ser>
        <c:ser>
          <c:idx val="5"/>
          <c:order val="5"/>
          <c:marker>
            <c:symbol val="circle"/>
            <c:size val="6"/>
            <c:spPr>
              <a:solidFill>
                <a:srgbClr val="F282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Emissions'!$B$6,'Total Emissions'!$B$2:$AF$2,'Total Emissions'!$AG$6)</c:f>
              <c:numCache>
                <c:formatCode>General</c:formatCode>
                <c:ptCount val="33"/>
                <c:pt idx="0">
                  <c:v>106119393.58404119</c:v>
                </c:pt>
                <c:pt idx="32">
                  <c:v>103496275.5246412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F7-489C-A96B-AF808D0DCB9C}"/>
            </c:ext>
          </c:extLst>
        </c:ser>
        <c:ser>
          <c:idx val="6"/>
          <c:order val="6"/>
          <c:tx>
            <c:strRef>
              <c:f>'Total Emissions'!$A$7</c:f>
              <c:strCache>
                <c:ptCount val="1"/>
                <c:pt idx="0">
                  <c:v>Elec</c:v>
                </c:pt>
              </c:strCache>
            </c:strRef>
          </c:tx>
          <c:spPr>
            <a:ln w="15875">
              <a:solidFill>
                <a:srgbClr val="E7C92E"/>
              </a:solidFill>
            </a:ln>
          </c:spPr>
          <c:marker>
            <c:symbol val="none"/>
          </c:marker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Emissions'!$B$7:$AG$7</c:f>
              <c:numCache>
                <c:formatCode>General</c:formatCode>
                <c:ptCount val="32"/>
                <c:pt idx="0">
                  <c:v>106119393.58404119</c:v>
                </c:pt>
                <c:pt idx="1">
                  <c:v>105322290.1316411</c:v>
                </c:pt>
                <c:pt idx="2">
                  <c:v>103639612.5533233</c:v>
                </c:pt>
                <c:pt idx="3">
                  <c:v>101746447.0185075</c:v>
                </c:pt>
                <c:pt idx="4">
                  <c:v>99464959.236241683</c:v>
                </c:pt>
                <c:pt idx="5">
                  <c:v>96508987.792171627</c:v>
                </c:pt>
                <c:pt idx="6">
                  <c:v>77417675.608601376</c:v>
                </c:pt>
                <c:pt idx="7">
                  <c:v>73840039.625941247</c:v>
                </c:pt>
                <c:pt idx="8">
                  <c:v>70208503.206941307</c:v>
                </c:pt>
                <c:pt idx="9">
                  <c:v>66559651.5004417</c:v>
                </c:pt>
                <c:pt idx="10">
                  <c:v>62790225.085141301</c:v>
                </c:pt>
                <c:pt idx="11">
                  <c:v>54568504.454441898</c:v>
                </c:pt>
                <c:pt idx="12">
                  <c:v>51444327.400441296</c:v>
                </c:pt>
                <c:pt idx="13">
                  <c:v>48524303.264940999</c:v>
                </c:pt>
                <c:pt idx="14">
                  <c:v>45759382.577341199</c:v>
                </c:pt>
                <c:pt idx="15">
                  <c:v>42947386.7980415</c:v>
                </c:pt>
                <c:pt idx="16">
                  <c:v>40525297.725541703</c:v>
                </c:pt>
                <c:pt idx="17">
                  <c:v>38676495.735841602</c:v>
                </c:pt>
                <c:pt idx="18">
                  <c:v>36902949.301641099</c:v>
                </c:pt>
                <c:pt idx="19">
                  <c:v>35235191.096041299</c:v>
                </c:pt>
                <c:pt idx="20">
                  <c:v>33847171.086941198</c:v>
                </c:pt>
                <c:pt idx="21">
                  <c:v>32606185.5132416</c:v>
                </c:pt>
                <c:pt idx="22">
                  <c:v>31713850.489241101</c:v>
                </c:pt>
                <c:pt idx="23">
                  <c:v>30882676.653041199</c:v>
                </c:pt>
                <c:pt idx="24">
                  <c:v>30116872.829742</c:v>
                </c:pt>
                <c:pt idx="25">
                  <c:v>29408466.873941202</c:v>
                </c:pt>
                <c:pt idx="26">
                  <c:v>27576181.1546419</c:v>
                </c:pt>
                <c:pt idx="27">
                  <c:v>27032179.2088417</c:v>
                </c:pt>
                <c:pt idx="28">
                  <c:v>26535885.4546417</c:v>
                </c:pt>
                <c:pt idx="29">
                  <c:v>26079859.423541501</c:v>
                </c:pt>
                <c:pt idx="30">
                  <c:v>25645048.096041702</c:v>
                </c:pt>
                <c:pt idx="31">
                  <c:v>25256468.4918417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F7-489C-A96B-AF808D0DCB9C}"/>
            </c:ext>
          </c:extLst>
        </c:ser>
        <c:ser>
          <c:idx val="7"/>
          <c:order val="7"/>
          <c:marker>
            <c:symbol val="circle"/>
            <c:size val="6"/>
            <c:spPr>
              <a:solidFill>
                <a:srgbClr val="E7C9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Emissions'!$B$7,'Total Emissions'!$B$2:$AF$2,'Total Emissions'!$AG$7)</c:f>
              <c:numCache>
                <c:formatCode>General</c:formatCode>
                <c:ptCount val="33"/>
                <c:pt idx="0">
                  <c:v>106119393.58404119</c:v>
                </c:pt>
                <c:pt idx="32">
                  <c:v>25256468.4918417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F7-489C-A96B-AF808D0DCB9C}"/>
            </c:ext>
          </c:extLst>
        </c:ser>
        <c:ser>
          <c:idx val="8"/>
          <c:order val="8"/>
          <c:tx>
            <c:strRef>
              <c:f>'Total Emissions'!$A$8</c:f>
              <c:strCache>
                <c:ptCount val="1"/>
                <c:pt idx="0">
                  <c:v>Hybrid</c:v>
                </c:pt>
              </c:strCache>
            </c:strRef>
          </c:tx>
          <c:spPr>
            <a:ln w="15875">
              <a:solidFill>
                <a:srgbClr val="D55BA0"/>
              </a:solidFill>
            </a:ln>
          </c:spPr>
          <c:marker>
            <c:symbol val="none"/>
          </c:marker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Emissions'!$B$8:$AG$8</c:f>
              <c:numCache>
                <c:formatCode>General</c:formatCode>
                <c:ptCount val="32"/>
                <c:pt idx="0">
                  <c:v>106119393.58404119</c:v>
                </c:pt>
                <c:pt idx="1">
                  <c:v>105312188.9726411</c:v>
                </c:pt>
                <c:pt idx="2">
                  <c:v>103585732.330541</c:v>
                </c:pt>
                <c:pt idx="3">
                  <c:v>101944430.1329415</c:v>
                </c:pt>
                <c:pt idx="4">
                  <c:v>99591001.497449994</c:v>
                </c:pt>
                <c:pt idx="5">
                  <c:v>96440735.95081</c:v>
                </c:pt>
                <c:pt idx="6">
                  <c:v>77151986.201580003</c:v>
                </c:pt>
                <c:pt idx="7">
                  <c:v>73211193.970339999</c:v>
                </c:pt>
                <c:pt idx="8">
                  <c:v>69218893.703800008</c:v>
                </c:pt>
                <c:pt idx="9">
                  <c:v>65217876.252599999</c:v>
                </c:pt>
                <c:pt idx="10">
                  <c:v>61119997.420599997</c:v>
                </c:pt>
                <c:pt idx="11">
                  <c:v>52587374.851899996</c:v>
                </c:pt>
                <c:pt idx="12">
                  <c:v>48868570.075499997</c:v>
                </c:pt>
                <c:pt idx="13">
                  <c:v>45368730.920299999</c:v>
                </c:pt>
                <c:pt idx="14">
                  <c:v>42035116.0057</c:v>
                </c:pt>
                <c:pt idx="15">
                  <c:v>38663522.2161</c:v>
                </c:pt>
                <c:pt idx="16">
                  <c:v>35676267.754100002</c:v>
                </c:pt>
                <c:pt idx="17">
                  <c:v>33710882.590700001</c:v>
                </c:pt>
                <c:pt idx="18">
                  <c:v>31813780.655400001</c:v>
                </c:pt>
                <c:pt idx="19">
                  <c:v>30015647.814199999</c:v>
                </c:pt>
                <c:pt idx="20">
                  <c:v>28490939.5592</c:v>
                </c:pt>
                <c:pt idx="21">
                  <c:v>27107137.719999999</c:v>
                </c:pt>
                <c:pt idx="22">
                  <c:v>26343161.549741641</c:v>
                </c:pt>
                <c:pt idx="23">
                  <c:v>25647880.467481591</c:v>
                </c:pt>
                <c:pt idx="24">
                  <c:v>25004003.437794879</c:v>
                </c:pt>
                <c:pt idx="25">
                  <c:v>24412922.841653921</c:v>
                </c:pt>
                <c:pt idx="26">
                  <c:v>22667382.30334406</c:v>
                </c:pt>
                <c:pt idx="27">
                  <c:v>22202290.277765419</c:v>
                </c:pt>
                <c:pt idx="28">
                  <c:v>21779762.456104871</c:v>
                </c:pt>
                <c:pt idx="29">
                  <c:v>21393581.207832951</c:v>
                </c:pt>
                <c:pt idx="30">
                  <c:v>21036263.457273759</c:v>
                </c:pt>
                <c:pt idx="31">
                  <c:v>20700308.892702129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F7-489C-A96B-AF808D0DCB9C}"/>
            </c:ext>
          </c:extLst>
        </c:ser>
        <c:ser>
          <c:idx val="9"/>
          <c:order val="9"/>
          <c:marker>
            <c:symbol val="circle"/>
            <c:size val="6"/>
            <c:spPr>
              <a:solidFill>
                <a:srgbClr val="D55BA0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Emissions'!$B$8,'Total Emissions'!$B$2:$AF$2,'Total Emissions'!$AG$8)</c:f>
              <c:numCache>
                <c:formatCode>General</c:formatCode>
                <c:ptCount val="33"/>
                <c:pt idx="0">
                  <c:v>106119393.58404119</c:v>
                </c:pt>
                <c:pt idx="32">
                  <c:v>20700308.892702129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F7-489C-A96B-AF808D0DC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  <c:tickLblSkip val="2"/>
        <c:noMultiLvlLbl val="0"/>
      </c:catAx>
      <c:valAx>
        <c:axId val="500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10001"/>
        <c:crosses val="autoZero"/>
        <c:crossBetween val="between"/>
        <c:dispUnits>
          <c:builtInUnit val="millions"/>
        </c:dispUnits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9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Emissions'!$B$50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Emissions'!$C$50:$AH$50</c:f>
              <c:numCache>
                <c:formatCode>General</c:formatCode>
                <c:ptCount val="32"/>
                <c:pt idx="0">
                  <c:v>48408352.039399996</c:v>
                </c:pt>
                <c:pt idx="1">
                  <c:v>47832788.517999999</c:v>
                </c:pt>
                <c:pt idx="2">
                  <c:v>47836359.784999996</c:v>
                </c:pt>
                <c:pt idx="3">
                  <c:v>47602319.663000003</c:v>
                </c:pt>
                <c:pt idx="4">
                  <c:v>47441503.395000003</c:v>
                </c:pt>
                <c:pt idx="5">
                  <c:v>47044737.784999996</c:v>
                </c:pt>
                <c:pt idx="6">
                  <c:v>45837145.248000003</c:v>
                </c:pt>
                <c:pt idx="7">
                  <c:v>45157243.733999997</c:v>
                </c:pt>
                <c:pt idx="8">
                  <c:v>44415183.627999999</c:v>
                </c:pt>
                <c:pt idx="9">
                  <c:v>43678880.251000002</c:v>
                </c:pt>
                <c:pt idx="10">
                  <c:v>43032389.478</c:v>
                </c:pt>
                <c:pt idx="11">
                  <c:v>42645607.175999999</c:v>
                </c:pt>
                <c:pt idx="12">
                  <c:v>42425168.980999999</c:v>
                </c:pt>
                <c:pt idx="13">
                  <c:v>42359890.607000001</c:v>
                </c:pt>
                <c:pt idx="14">
                  <c:v>42368741.718999997</c:v>
                </c:pt>
                <c:pt idx="15">
                  <c:v>42259676.886999987</c:v>
                </c:pt>
                <c:pt idx="16">
                  <c:v>42316715.615999997</c:v>
                </c:pt>
                <c:pt idx="17">
                  <c:v>42331435.684</c:v>
                </c:pt>
                <c:pt idx="18">
                  <c:v>42344629.468999997</c:v>
                </c:pt>
                <c:pt idx="19">
                  <c:v>42370842.994000003</c:v>
                </c:pt>
                <c:pt idx="20">
                  <c:v>42428402.395000003</c:v>
                </c:pt>
                <c:pt idx="21">
                  <c:v>42513668.186999999</c:v>
                </c:pt>
                <c:pt idx="22">
                  <c:v>42579962.579000004</c:v>
                </c:pt>
                <c:pt idx="23">
                  <c:v>42637772.399999999</c:v>
                </c:pt>
                <c:pt idx="24">
                  <c:v>42691147.498000003</c:v>
                </c:pt>
                <c:pt idx="25">
                  <c:v>42749299.380000003</c:v>
                </c:pt>
                <c:pt idx="26">
                  <c:v>42819078.772</c:v>
                </c:pt>
                <c:pt idx="27">
                  <c:v>42907299.425999999</c:v>
                </c:pt>
                <c:pt idx="28">
                  <c:v>43017187.534999996</c:v>
                </c:pt>
                <c:pt idx="29">
                  <c:v>43149860.574000001</c:v>
                </c:pt>
                <c:pt idx="30">
                  <c:v>43302895.479000002</c:v>
                </c:pt>
                <c:pt idx="31">
                  <c:v>43465813.158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4-4AB8-9A6C-D189598A1C50}"/>
            </c:ext>
          </c:extLst>
        </c:ser>
        <c:ser>
          <c:idx val="1"/>
          <c:order val="1"/>
          <c:tx>
            <c:strRef>
              <c:f>'Total Emissions'!$B$48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Emissions'!$C$48:$AH$48</c:f>
              <c:numCache>
                <c:formatCode>General</c:formatCode>
                <c:ptCount val="32"/>
                <c:pt idx="0">
                  <c:v>20476927.013766222</c:v>
                </c:pt>
                <c:pt idx="1">
                  <c:v>20482555.933635291</c:v>
                </c:pt>
                <c:pt idx="2">
                  <c:v>20492412.71292026</c:v>
                </c:pt>
                <c:pt idx="3">
                  <c:v>20503878.1222247</c:v>
                </c:pt>
                <c:pt idx="4">
                  <c:v>20515500.591547921</c:v>
                </c:pt>
                <c:pt idx="5">
                  <c:v>20526971.22088927</c:v>
                </c:pt>
                <c:pt idx="6">
                  <c:v>20538928.820248101</c:v>
                </c:pt>
                <c:pt idx="7">
                  <c:v>20552236.420256268</c:v>
                </c:pt>
                <c:pt idx="8">
                  <c:v>20565609.970263168</c:v>
                </c:pt>
                <c:pt idx="9">
                  <c:v>20578814.88026882</c:v>
                </c:pt>
                <c:pt idx="10">
                  <c:v>20591816.13027323</c:v>
                </c:pt>
                <c:pt idx="11">
                  <c:v>20604670.730276451</c:v>
                </c:pt>
                <c:pt idx="12">
                  <c:v>20626660.140319739</c:v>
                </c:pt>
                <c:pt idx="13">
                  <c:v>20648585.82036392</c:v>
                </c:pt>
                <c:pt idx="14">
                  <c:v>20670775.820408989</c:v>
                </c:pt>
                <c:pt idx="15">
                  <c:v>20692947.720454961</c:v>
                </c:pt>
                <c:pt idx="16">
                  <c:v>20715218.24050181</c:v>
                </c:pt>
                <c:pt idx="17">
                  <c:v>20747912.880626541</c:v>
                </c:pt>
                <c:pt idx="18">
                  <c:v>20780597.040752038</c:v>
                </c:pt>
                <c:pt idx="19">
                  <c:v>20813286.49087831</c:v>
                </c:pt>
                <c:pt idx="20">
                  <c:v>20845991.681005351</c:v>
                </c:pt>
                <c:pt idx="21">
                  <c:v>20878705.561133169</c:v>
                </c:pt>
                <c:pt idx="22">
                  <c:v>20898057.13113939</c:v>
                </c:pt>
                <c:pt idx="23">
                  <c:v>20917386.411146611</c:v>
                </c:pt>
                <c:pt idx="24">
                  <c:v>20936695.441154841</c:v>
                </c:pt>
                <c:pt idx="25">
                  <c:v>20955988.571164072</c:v>
                </c:pt>
                <c:pt idx="26">
                  <c:v>20975289.241174299</c:v>
                </c:pt>
                <c:pt idx="27">
                  <c:v>20984589.711146072</c:v>
                </c:pt>
                <c:pt idx="28">
                  <c:v>20993903.01111906</c:v>
                </c:pt>
                <c:pt idx="29">
                  <c:v>21003224.781093251</c:v>
                </c:pt>
                <c:pt idx="30">
                  <c:v>21012548.65106865</c:v>
                </c:pt>
                <c:pt idx="31">
                  <c:v>21021863.971045248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4-4AB8-9A6C-D189598A1C50}"/>
            </c:ext>
          </c:extLst>
        </c:ser>
        <c:ser>
          <c:idx val="2"/>
          <c:order val="2"/>
          <c:tx>
            <c:strRef>
              <c:f>'Total Emissions'!$B$46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Emissions'!$C$46:$AH$46</c:f>
              <c:numCache>
                <c:formatCode>General</c:formatCode>
                <c:ptCount val="32"/>
                <c:pt idx="0">
                  <c:v>18990147.210269999</c:v>
                </c:pt>
                <c:pt idx="1">
                  <c:v>18990147.210269999</c:v>
                </c:pt>
                <c:pt idx="2">
                  <c:v>18990147.210269999</c:v>
                </c:pt>
                <c:pt idx="3">
                  <c:v>18990147.210269999</c:v>
                </c:pt>
                <c:pt idx="4">
                  <c:v>18990147.210269999</c:v>
                </c:pt>
                <c:pt idx="5">
                  <c:v>18990147.210269999</c:v>
                </c:pt>
                <c:pt idx="6">
                  <c:v>18990147.210269999</c:v>
                </c:pt>
                <c:pt idx="7">
                  <c:v>18990147.210269999</c:v>
                </c:pt>
                <c:pt idx="8">
                  <c:v>18990147.210269999</c:v>
                </c:pt>
                <c:pt idx="9">
                  <c:v>18990147.210269999</c:v>
                </c:pt>
                <c:pt idx="10">
                  <c:v>18990147.210269999</c:v>
                </c:pt>
                <c:pt idx="11">
                  <c:v>18990147.210269999</c:v>
                </c:pt>
                <c:pt idx="12">
                  <c:v>18990147.210269999</c:v>
                </c:pt>
                <c:pt idx="13">
                  <c:v>18990147.210269999</c:v>
                </c:pt>
                <c:pt idx="14">
                  <c:v>18990147.210269999</c:v>
                </c:pt>
                <c:pt idx="15">
                  <c:v>18990147.210269999</c:v>
                </c:pt>
                <c:pt idx="16">
                  <c:v>18990147.210269999</c:v>
                </c:pt>
                <c:pt idx="17">
                  <c:v>18990147.210269999</c:v>
                </c:pt>
                <c:pt idx="18">
                  <c:v>18990147.210269999</c:v>
                </c:pt>
                <c:pt idx="19">
                  <c:v>18990147.210269999</c:v>
                </c:pt>
                <c:pt idx="20">
                  <c:v>18990147.210269999</c:v>
                </c:pt>
                <c:pt idx="21">
                  <c:v>18990147.210269999</c:v>
                </c:pt>
                <c:pt idx="22">
                  <c:v>18990147.210269999</c:v>
                </c:pt>
                <c:pt idx="23">
                  <c:v>18990147.210269999</c:v>
                </c:pt>
                <c:pt idx="24">
                  <c:v>18990147.210269999</c:v>
                </c:pt>
                <c:pt idx="25">
                  <c:v>18990147.210269999</c:v>
                </c:pt>
                <c:pt idx="26">
                  <c:v>18990147.210269999</c:v>
                </c:pt>
                <c:pt idx="27">
                  <c:v>18990147.210269999</c:v>
                </c:pt>
                <c:pt idx="28">
                  <c:v>18990147.210269999</c:v>
                </c:pt>
                <c:pt idx="29">
                  <c:v>18990147.210269999</c:v>
                </c:pt>
                <c:pt idx="30">
                  <c:v>18990147.210269999</c:v>
                </c:pt>
                <c:pt idx="31">
                  <c:v>18990147.210269999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4-4AB8-9A6C-D189598A1C50}"/>
            </c:ext>
          </c:extLst>
        </c:ser>
        <c:ser>
          <c:idx val="3"/>
          <c:order val="3"/>
          <c:tx>
            <c:strRef>
              <c:f>'Total Emissions'!$B$49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Emissions'!$C$49:$AH$49</c:f>
              <c:numCache>
                <c:formatCode>General</c:formatCode>
                <c:ptCount val="32"/>
                <c:pt idx="0">
                  <c:v>9744535.1999999993</c:v>
                </c:pt>
                <c:pt idx="1">
                  <c:v>9788085.8000000007</c:v>
                </c:pt>
                <c:pt idx="2">
                  <c:v>9811275.8000000007</c:v>
                </c:pt>
                <c:pt idx="3">
                  <c:v>9871271.5999999996</c:v>
                </c:pt>
                <c:pt idx="4">
                  <c:v>9933667.0999999996</c:v>
                </c:pt>
                <c:pt idx="5">
                  <c:v>9995849.5</c:v>
                </c:pt>
                <c:pt idx="6">
                  <c:v>10058882.4</c:v>
                </c:pt>
                <c:pt idx="7">
                  <c:v>10099858.6</c:v>
                </c:pt>
                <c:pt idx="8">
                  <c:v>10142002.6</c:v>
                </c:pt>
                <c:pt idx="9">
                  <c:v>10186157.9</c:v>
                </c:pt>
                <c:pt idx="10">
                  <c:v>10232754.1</c:v>
                </c:pt>
                <c:pt idx="11">
                  <c:v>10281691.699999999</c:v>
                </c:pt>
                <c:pt idx="12">
                  <c:v>10322923.800000001</c:v>
                </c:pt>
                <c:pt idx="13">
                  <c:v>10363176.9</c:v>
                </c:pt>
                <c:pt idx="14">
                  <c:v>10402228.300000001</c:v>
                </c:pt>
                <c:pt idx="15">
                  <c:v>10439453.9</c:v>
                </c:pt>
                <c:pt idx="16">
                  <c:v>10475854.6</c:v>
                </c:pt>
                <c:pt idx="17">
                  <c:v>10501065.300000001</c:v>
                </c:pt>
                <c:pt idx="18">
                  <c:v>10525968.300000001</c:v>
                </c:pt>
                <c:pt idx="19">
                  <c:v>10550669.300000001</c:v>
                </c:pt>
                <c:pt idx="20">
                  <c:v>10575213.699999999</c:v>
                </c:pt>
                <c:pt idx="21">
                  <c:v>10599589.9</c:v>
                </c:pt>
                <c:pt idx="22">
                  <c:v>10618103.5</c:v>
                </c:pt>
                <c:pt idx="23">
                  <c:v>10636400.199999999</c:v>
                </c:pt>
                <c:pt idx="24">
                  <c:v>10654486.6</c:v>
                </c:pt>
                <c:pt idx="25">
                  <c:v>10672409.4</c:v>
                </c:pt>
                <c:pt idx="26">
                  <c:v>10690588.9</c:v>
                </c:pt>
                <c:pt idx="27">
                  <c:v>10704730.800000001</c:v>
                </c:pt>
                <c:pt idx="28">
                  <c:v>10719425.699999999</c:v>
                </c:pt>
                <c:pt idx="29">
                  <c:v>10734505.1</c:v>
                </c:pt>
                <c:pt idx="30">
                  <c:v>10749671.4</c:v>
                </c:pt>
                <c:pt idx="31">
                  <c:v>10764819.800000001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4-4AB8-9A6C-D189598A1C50}"/>
            </c:ext>
          </c:extLst>
        </c:ser>
        <c:ser>
          <c:idx val="4"/>
          <c:order val="4"/>
          <c:tx>
            <c:strRef>
              <c:f>'Total Emissions'!$B$45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Emissions'!$C$45:$AH$45</c:f>
              <c:numCache>
                <c:formatCode>General</c:formatCode>
                <c:ptCount val="32"/>
                <c:pt idx="0">
                  <c:v>7899613.5607049996</c:v>
                </c:pt>
                <c:pt idx="1">
                  <c:v>7927146.4158359999</c:v>
                </c:pt>
                <c:pt idx="2">
                  <c:v>8033064.4075509999</c:v>
                </c:pt>
                <c:pt idx="3">
                  <c:v>8143099.5672469996</c:v>
                </c:pt>
                <c:pt idx="4">
                  <c:v>8253670.3929230003</c:v>
                </c:pt>
                <c:pt idx="5">
                  <c:v>8363984.084582</c:v>
                </c:pt>
                <c:pt idx="6">
                  <c:v>8475705.6432230007</c:v>
                </c:pt>
                <c:pt idx="7">
                  <c:v>8496832.2242150009</c:v>
                </c:pt>
                <c:pt idx="8">
                  <c:v>8518286.7802079991</c:v>
                </c:pt>
                <c:pt idx="9">
                  <c:v>8539449.7112029996</c:v>
                </c:pt>
                <c:pt idx="10">
                  <c:v>8560224.3161980007</c:v>
                </c:pt>
                <c:pt idx="11">
                  <c:v>8580759.2971950006</c:v>
                </c:pt>
                <c:pt idx="12">
                  <c:v>8585765.5791519992</c:v>
                </c:pt>
                <c:pt idx="13">
                  <c:v>8590485.7541070003</c:v>
                </c:pt>
                <c:pt idx="14">
                  <c:v>8595802.6220619995</c:v>
                </c:pt>
                <c:pt idx="15">
                  <c:v>8600952.2830159999</c:v>
                </c:pt>
                <c:pt idx="16">
                  <c:v>8606250.0369700007</c:v>
                </c:pt>
                <c:pt idx="17">
                  <c:v>8602538.8078450002</c:v>
                </c:pt>
                <c:pt idx="18">
                  <c:v>8598699.9777189996</c:v>
                </c:pt>
                <c:pt idx="19">
                  <c:v>8594770.5455929991</c:v>
                </c:pt>
                <c:pt idx="20">
                  <c:v>8590779.2114659995</c:v>
                </c:pt>
                <c:pt idx="21">
                  <c:v>8586710.1753380001</c:v>
                </c:pt>
                <c:pt idx="22">
                  <c:v>8592415.2693319991</c:v>
                </c:pt>
                <c:pt idx="23">
                  <c:v>8597943.6383250002</c:v>
                </c:pt>
                <c:pt idx="24">
                  <c:v>8603303.5813170001</c:v>
                </c:pt>
                <c:pt idx="25">
                  <c:v>8608514.2003070004</c:v>
                </c:pt>
                <c:pt idx="26">
                  <c:v>8613624.4942969996</c:v>
                </c:pt>
                <c:pt idx="27">
                  <c:v>8621838.3743249997</c:v>
                </c:pt>
                <c:pt idx="28">
                  <c:v>8629965.8273520004</c:v>
                </c:pt>
                <c:pt idx="29">
                  <c:v>8637998.3533779997</c:v>
                </c:pt>
                <c:pt idx="30">
                  <c:v>8645919.9524029996</c:v>
                </c:pt>
                <c:pt idx="31">
                  <c:v>8653700.0254260004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E4-4AB8-9A6C-D189598A1C50}"/>
            </c:ext>
          </c:extLst>
        </c:ser>
        <c:ser>
          <c:idx val="5"/>
          <c:order val="5"/>
          <c:tx>
            <c:strRef>
              <c:f>'Total Emissions'!$B$44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Emissions'!$C$44:$AH$44</c:f>
              <c:numCache>
                <c:formatCode>General</c:formatCode>
                <c:ptCount val="32"/>
                <c:pt idx="0">
                  <c:v>378717.85989999998</c:v>
                </c:pt>
                <c:pt idx="1">
                  <c:v>378717.85989999998</c:v>
                </c:pt>
                <c:pt idx="2">
                  <c:v>378717.85989999998</c:v>
                </c:pt>
                <c:pt idx="3">
                  <c:v>378717.85989999998</c:v>
                </c:pt>
                <c:pt idx="4">
                  <c:v>378717.85989999998</c:v>
                </c:pt>
                <c:pt idx="5">
                  <c:v>378717.85989999998</c:v>
                </c:pt>
                <c:pt idx="6">
                  <c:v>378717.85989999998</c:v>
                </c:pt>
                <c:pt idx="7">
                  <c:v>378717.85989999998</c:v>
                </c:pt>
                <c:pt idx="8">
                  <c:v>378717.85989999998</c:v>
                </c:pt>
                <c:pt idx="9">
                  <c:v>378717.85989999998</c:v>
                </c:pt>
                <c:pt idx="10">
                  <c:v>378717.85989999998</c:v>
                </c:pt>
                <c:pt idx="11">
                  <c:v>378717.85989999998</c:v>
                </c:pt>
                <c:pt idx="12">
                  <c:v>378717.85989999998</c:v>
                </c:pt>
                <c:pt idx="13">
                  <c:v>378717.85989999998</c:v>
                </c:pt>
                <c:pt idx="14">
                  <c:v>378717.85989999998</c:v>
                </c:pt>
                <c:pt idx="15">
                  <c:v>378717.85989999998</c:v>
                </c:pt>
                <c:pt idx="16">
                  <c:v>378717.85989999998</c:v>
                </c:pt>
                <c:pt idx="17">
                  <c:v>378717.85989999998</c:v>
                </c:pt>
                <c:pt idx="18">
                  <c:v>378717.85989999998</c:v>
                </c:pt>
                <c:pt idx="19">
                  <c:v>378717.85989999998</c:v>
                </c:pt>
                <c:pt idx="20">
                  <c:v>378717.85989999998</c:v>
                </c:pt>
                <c:pt idx="21">
                  <c:v>378717.85989999998</c:v>
                </c:pt>
                <c:pt idx="22">
                  <c:v>378717.85989999998</c:v>
                </c:pt>
                <c:pt idx="23">
                  <c:v>378717.85989999998</c:v>
                </c:pt>
                <c:pt idx="24">
                  <c:v>378717.85989999998</c:v>
                </c:pt>
                <c:pt idx="25">
                  <c:v>378717.85989999998</c:v>
                </c:pt>
                <c:pt idx="26">
                  <c:v>378717.85989999998</c:v>
                </c:pt>
                <c:pt idx="27">
                  <c:v>378717.85989999998</c:v>
                </c:pt>
                <c:pt idx="28">
                  <c:v>378717.85989999998</c:v>
                </c:pt>
                <c:pt idx="29">
                  <c:v>378717.85989999998</c:v>
                </c:pt>
                <c:pt idx="30">
                  <c:v>378717.85989999998</c:v>
                </c:pt>
                <c:pt idx="31">
                  <c:v>378717.85989999998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4-4AB8-9A6C-D189598A1C50}"/>
            </c:ext>
          </c:extLst>
        </c:ser>
        <c:ser>
          <c:idx val="6"/>
          <c:order val="6"/>
          <c:tx>
            <c:strRef>
              <c:f>'Total Emissions'!$B$47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Emissions'!$C$47:$AH$47</c:f>
              <c:numCache>
                <c:formatCode>General</c:formatCode>
                <c:ptCount val="32"/>
                <c:pt idx="0">
                  <c:v>221100.7</c:v>
                </c:pt>
                <c:pt idx="1">
                  <c:v>221231.2</c:v>
                </c:pt>
                <c:pt idx="2">
                  <c:v>221445.5</c:v>
                </c:pt>
                <c:pt idx="3">
                  <c:v>221824.6</c:v>
                </c:pt>
                <c:pt idx="4">
                  <c:v>222191.6</c:v>
                </c:pt>
                <c:pt idx="5">
                  <c:v>222536</c:v>
                </c:pt>
                <c:pt idx="6">
                  <c:v>222860.79999999999</c:v>
                </c:pt>
                <c:pt idx="7">
                  <c:v>222852.2</c:v>
                </c:pt>
                <c:pt idx="8">
                  <c:v>222850.9</c:v>
                </c:pt>
                <c:pt idx="9">
                  <c:v>222879.7</c:v>
                </c:pt>
                <c:pt idx="10">
                  <c:v>222950.8</c:v>
                </c:pt>
                <c:pt idx="11">
                  <c:v>223057.8</c:v>
                </c:pt>
                <c:pt idx="12">
                  <c:v>223131.1</c:v>
                </c:pt>
                <c:pt idx="13">
                  <c:v>223184.5</c:v>
                </c:pt>
                <c:pt idx="14">
                  <c:v>223203</c:v>
                </c:pt>
                <c:pt idx="15">
                  <c:v>223191.1</c:v>
                </c:pt>
                <c:pt idx="16">
                  <c:v>223161.7</c:v>
                </c:pt>
                <c:pt idx="17">
                  <c:v>223077.4</c:v>
                </c:pt>
                <c:pt idx="18">
                  <c:v>222989.8</c:v>
                </c:pt>
                <c:pt idx="19">
                  <c:v>222899.8</c:v>
                </c:pt>
                <c:pt idx="20">
                  <c:v>222807.8</c:v>
                </c:pt>
                <c:pt idx="21">
                  <c:v>222713.60000000001</c:v>
                </c:pt>
                <c:pt idx="22">
                  <c:v>222584.5</c:v>
                </c:pt>
                <c:pt idx="23">
                  <c:v>222453</c:v>
                </c:pt>
                <c:pt idx="24">
                  <c:v>222319.2</c:v>
                </c:pt>
                <c:pt idx="25">
                  <c:v>222183.1</c:v>
                </c:pt>
                <c:pt idx="26">
                  <c:v>222047.2</c:v>
                </c:pt>
                <c:pt idx="27">
                  <c:v>221879.9</c:v>
                </c:pt>
                <c:pt idx="28">
                  <c:v>221714</c:v>
                </c:pt>
                <c:pt idx="29">
                  <c:v>221548.6</c:v>
                </c:pt>
                <c:pt idx="30">
                  <c:v>221381.8</c:v>
                </c:pt>
                <c:pt idx="31">
                  <c:v>221213.5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E4-4AB8-9A6C-D189598A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00001"/>
        <c:axId val="50100002"/>
      </c:areaChart>
      <c:catAx>
        <c:axId val="501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00002"/>
        <c:crosses val="autoZero"/>
        <c:auto val="1"/>
        <c:lblAlgn val="ctr"/>
        <c:lblOffset val="100"/>
        <c:tickLblSkip val="2"/>
        <c:noMultiLvlLbl val="0"/>
      </c:catAx>
      <c:valAx>
        <c:axId val="501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0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Emissions'!$B$19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Emissions'!$C$19,'Transportation Emissions'!$AH$19)</c:f>
              <c:numCache>
                <c:formatCode>General</c:formatCode>
                <c:ptCount val="2"/>
                <c:pt idx="0">
                  <c:v>24286308.891982999</c:v>
                </c:pt>
                <c:pt idx="1">
                  <c:v>40572.458707999998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D-4C8D-8896-DC26E242A049}"/>
            </c:ext>
          </c:extLst>
        </c:ser>
        <c:ser>
          <c:idx val="1"/>
          <c:order val="1"/>
          <c:tx>
            <c:strRef>
              <c:f>'Transportation Emissions'!$B$18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Emissions'!$C$18,'Transportation Emissions'!$AH$18)</c:f>
              <c:numCache>
                <c:formatCode>General</c:formatCode>
                <c:ptCount val="2"/>
                <c:pt idx="0">
                  <c:v>16213787.265347</c:v>
                </c:pt>
                <c:pt idx="1">
                  <c:v>2489451.1468270002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DD-4C8D-8896-DC26E242A049}"/>
            </c:ext>
          </c:extLst>
        </c:ser>
        <c:ser>
          <c:idx val="2"/>
          <c:order val="2"/>
          <c:tx>
            <c:strRef>
              <c:f>'Transportation Emissions'!$B$21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Emissions'!$C$21,'Transportation Emissions'!$AH$21)</c:f>
              <c:numCache>
                <c:formatCode>General</c:formatCode>
                <c:ptCount val="2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DD-4C8D-8896-DC26E242A049}"/>
            </c:ext>
          </c:extLst>
        </c:ser>
        <c:ser>
          <c:idx val="3"/>
          <c:order val="3"/>
          <c:tx>
            <c:strRef>
              <c:f>'Transportation Emissions'!$B$20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Emissions'!$C$20,'Transportation Emissions'!$AH$20)</c:f>
              <c:numCache>
                <c:formatCode>General</c:formatCode>
                <c:ptCount val="2"/>
                <c:pt idx="0">
                  <c:v>19106.891037000001</c:v>
                </c:pt>
                <c:pt idx="1">
                  <c:v>148695.935635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DD-4C8D-8896-DC26E242A049}"/>
            </c:ext>
          </c:extLst>
        </c:ser>
        <c:ser>
          <c:idx val="4"/>
          <c:order val="4"/>
          <c:tx>
            <c:strRef>
              <c:f>'Transportation Emissions'!$B$22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Emissions'!$C$22,'Transportation Emissions'!$AH$22)</c:f>
              <c:numCache>
                <c:formatCode>General</c:formatCode>
                <c:ptCount val="2"/>
                <c:pt idx="0">
                  <c:v>10900.915784000001</c:v>
                </c:pt>
                <c:pt idx="1">
                  <c:v>235146.89663500001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DD-4C8D-8896-DC26E242A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000001"/>
        <c:axId val="51000002"/>
      </c:barChart>
      <c:catAx>
        <c:axId val="510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00002"/>
        <c:crosses val="autoZero"/>
        <c:auto val="1"/>
        <c:lblAlgn val="ctr"/>
        <c:lblOffset val="100"/>
        <c:noMultiLvlLbl val="0"/>
      </c:catAx>
      <c:valAx>
        <c:axId val="510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0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Emissions'!$B$25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Emissions'!$C$25:$AH$25</c:f>
              <c:numCache>
                <c:formatCode>General</c:formatCode>
                <c:ptCount val="32"/>
                <c:pt idx="0">
                  <c:v>24286308.891982999</c:v>
                </c:pt>
                <c:pt idx="1">
                  <c:v>24217943.462678999</c:v>
                </c:pt>
                <c:pt idx="2">
                  <c:v>23166377.845747001</c:v>
                </c:pt>
                <c:pt idx="3">
                  <c:v>21963035.646635</c:v>
                </c:pt>
                <c:pt idx="4">
                  <c:v>20837067.970493</c:v>
                </c:pt>
                <c:pt idx="5">
                  <c:v>19453875.419456001</c:v>
                </c:pt>
                <c:pt idx="6">
                  <c:v>17345272.325438</c:v>
                </c:pt>
                <c:pt idx="7">
                  <c:v>15824554.883357</c:v>
                </c:pt>
                <c:pt idx="8">
                  <c:v>14200709.704685999</c:v>
                </c:pt>
                <c:pt idx="9">
                  <c:v>12547848.453841999</c:v>
                </c:pt>
                <c:pt idx="10">
                  <c:v>10970821.588680999</c:v>
                </c:pt>
                <c:pt idx="11">
                  <c:v>9602140.3985329997</c:v>
                </c:pt>
                <c:pt idx="12">
                  <c:v>8439760.0416030008</c:v>
                </c:pt>
                <c:pt idx="13">
                  <c:v>7435526.5616680002</c:v>
                </c:pt>
                <c:pt idx="14">
                  <c:v>6526361.2518730015</c:v>
                </c:pt>
                <c:pt idx="15">
                  <c:v>5532053.8401549999</c:v>
                </c:pt>
                <c:pt idx="16">
                  <c:v>4700136.9926760001</c:v>
                </c:pt>
                <c:pt idx="17">
                  <c:v>4104682.559711</c:v>
                </c:pt>
                <c:pt idx="18">
                  <c:v>3513065.8818410002</c:v>
                </c:pt>
                <c:pt idx="19">
                  <c:v>2955846.9927139999</c:v>
                </c:pt>
                <c:pt idx="20">
                  <c:v>2488008.96942</c:v>
                </c:pt>
                <c:pt idx="21">
                  <c:v>2071096.377749</c:v>
                </c:pt>
                <c:pt idx="22">
                  <c:v>1698902.039568</c:v>
                </c:pt>
                <c:pt idx="23">
                  <c:v>1360282.0945969999</c:v>
                </c:pt>
                <c:pt idx="24">
                  <c:v>1064795.5231639999</c:v>
                </c:pt>
                <c:pt idx="25">
                  <c:v>814465.20001000003</c:v>
                </c:pt>
                <c:pt idx="26">
                  <c:v>606112.20495499996</c:v>
                </c:pt>
                <c:pt idx="27">
                  <c:v>435967.40049099998</c:v>
                </c:pt>
                <c:pt idx="28">
                  <c:v>300082.681706</c:v>
                </c:pt>
                <c:pt idx="29">
                  <c:v>193213.485739</c:v>
                </c:pt>
                <c:pt idx="30">
                  <c:v>109065.75738900001</c:v>
                </c:pt>
                <c:pt idx="31">
                  <c:v>40572.458707999998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A-4431-A816-82AA22F32DD1}"/>
            </c:ext>
          </c:extLst>
        </c:ser>
        <c:ser>
          <c:idx val="1"/>
          <c:order val="1"/>
          <c:tx>
            <c:strRef>
              <c:f>'Transportation Emissions'!$B$24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Emissions'!$C$24:$AH$24</c:f>
              <c:numCache>
                <c:formatCode>General</c:formatCode>
                <c:ptCount val="32"/>
                <c:pt idx="0">
                  <c:v>16213787.265347</c:v>
                </c:pt>
                <c:pt idx="1">
                  <c:v>15531021.755192</c:v>
                </c:pt>
                <c:pt idx="2">
                  <c:v>14818262.868488999</c:v>
                </c:pt>
                <c:pt idx="3">
                  <c:v>14088079.797666</c:v>
                </c:pt>
                <c:pt idx="4">
                  <c:v>13373052.170359001</c:v>
                </c:pt>
                <c:pt idx="5">
                  <c:v>12528839.470874</c:v>
                </c:pt>
                <c:pt idx="6">
                  <c:v>11750046.127835</c:v>
                </c:pt>
                <c:pt idx="7">
                  <c:v>10923793.472943</c:v>
                </c:pt>
                <c:pt idx="8">
                  <c:v>10137826.048010999</c:v>
                </c:pt>
                <c:pt idx="9">
                  <c:v>9372473.1312189996</c:v>
                </c:pt>
                <c:pt idx="10">
                  <c:v>8628279.5278999992</c:v>
                </c:pt>
                <c:pt idx="11">
                  <c:v>7917861.3619139995</c:v>
                </c:pt>
                <c:pt idx="12">
                  <c:v>7235564.9679199997</c:v>
                </c:pt>
                <c:pt idx="13">
                  <c:v>6584523.6254169997</c:v>
                </c:pt>
                <c:pt idx="14">
                  <c:v>5951586.3310099998</c:v>
                </c:pt>
                <c:pt idx="15">
                  <c:v>5324068.8109499998</c:v>
                </c:pt>
                <c:pt idx="16">
                  <c:v>4732364.2953940006</c:v>
                </c:pt>
                <c:pt idx="17">
                  <c:v>4407525.6759230001</c:v>
                </c:pt>
                <c:pt idx="18">
                  <c:v>4088348.9270120002</c:v>
                </c:pt>
                <c:pt idx="19">
                  <c:v>3778516.763572</c:v>
                </c:pt>
                <c:pt idx="20">
                  <c:v>3529888.5391799998</c:v>
                </c:pt>
                <c:pt idx="21">
                  <c:v>3287976.015588</c:v>
                </c:pt>
                <c:pt idx="22">
                  <c:v>3185261.4769580001</c:v>
                </c:pt>
                <c:pt idx="23">
                  <c:v>3087191.413780001</c:v>
                </c:pt>
                <c:pt idx="24">
                  <c:v>2994912.8888920001</c:v>
                </c:pt>
                <c:pt idx="25">
                  <c:v>2908653.57063</c:v>
                </c:pt>
                <c:pt idx="26">
                  <c:v>2827993.6287750001</c:v>
                </c:pt>
                <c:pt idx="27">
                  <c:v>2752520.5133659998</c:v>
                </c:pt>
                <c:pt idx="28">
                  <c:v>2681628.98728</c:v>
                </c:pt>
                <c:pt idx="29">
                  <c:v>2614682.5263060001</c:v>
                </c:pt>
                <c:pt idx="30">
                  <c:v>2550913.961995</c:v>
                </c:pt>
                <c:pt idx="31">
                  <c:v>2489451.1468270002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A-4431-A816-82AA22F32DD1}"/>
            </c:ext>
          </c:extLst>
        </c:ser>
        <c:ser>
          <c:idx val="2"/>
          <c:order val="2"/>
          <c:tx>
            <c:strRef>
              <c:f>'Transportation Emissions'!$B$27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Emissions'!$C$27:$AH$27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7785012.07424</c:v>
                </c:pt>
                <c:pt idx="3">
                  <c:v>7697540.2657160005</c:v>
                </c:pt>
                <c:pt idx="4">
                  <c:v>7610068.4571930002</c:v>
                </c:pt>
                <c:pt idx="5">
                  <c:v>7522596.1794330003</c:v>
                </c:pt>
                <c:pt idx="6">
                  <c:v>7435123.9016730003</c:v>
                </c:pt>
                <c:pt idx="7">
                  <c:v>7347652.0931489998</c:v>
                </c:pt>
                <c:pt idx="8">
                  <c:v>7260180.2846259996</c:v>
                </c:pt>
                <c:pt idx="9">
                  <c:v>7172708.0068650004</c:v>
                </c:pt>
                <c:pt idx="10">
                  <c:v>7085235.7291050004</c:v>
                </c:pt>
                <c:pt idx="11">
                  <c:v>6997763.9205820002</c:v>
                </c:pt>
                <c:pt idx="12">
                  <c:v>6910292.1120579997</c:v>
                </c:pt>
                <c:pt idx="13">
                  <c:v>6822819.8342979997</c:v>
                </c:pt>
                <c:pt idx="14">
                  <c:v>6735347.5565379998</c:v>
                </c:pt>
                <c:pt idx="15">
                  <c:v>6647875.7480149996</c:v>
                </c:pt>
                <c:pt idx="16">
                  <c:v>6560403.939491</c:v>
                </c:pt>
                <c:pt idx="17">
                  <c:v>6472931.6617310001</c:v>
                </c:pt>
                <c:pt idx="18">
                  <c:v>6385459.3839710001</c:v>
                </c:pt>
                <c:pt idx="19">
                  <c:v>6297987.5754469996</c:v>
                </c:pt>
                <c:pt idx="20">
                  <c:v>6297987.5754469996</c:v>
                </c:pt>
                <c:pt idx="21">
                  <c:v>6297987.5754469996</c:v>
                </c:pt>
                <c:pt idx="22">
                  <c:v>6297987.5754469996</c:v>
                </c:pt>
                <c:pt idx="23">
                  <c:v>6297987.5754469996</c:v>
                </c:pt>
                <c:pt idx="24">
                  <c:v>6297987.5754469996</c:v>
                </c:pt>
                <c:pt idx="25">
                  <c:v>6297987.5754469996</c:v>
                </c:pt>
                <c:pt idx="26">
                  <c:v>6297987.5754469996</c:v>
                </c:pt>
                <c:pt idx="27">
                  <c:v>6297987.5754469996</c:v>
                </c:pt>
                <c:pt idx="28">
                  <c:v>6297987.5754469996</c:v>
                </c:pt>
                <c:pt idx="29">
                  <c:v>6297987.5754469996</c:v>
                </c:pt>
                <c:pt idx="30">
                  <c:v>6297987.5754469996</c:v>
                </c:pt>
                <c:pt idx="3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6A-4431-A816-82AA22F32DD1}"/>
            </c:ext>
          </c:extLst>
        </c:ser>
        <c:ser>
          <c:idx val="3"/>
          <c:order val="3"/>
          <c:tx>
            <c:strRef>
              <c:f>'Transportation Emissions'!$B$26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Emissions'!$C$26:$AH$26</c:f>
              <c:numCache>
                <c:formatCode>General</c:formatCode>
                <c:ptCount val="32"/>
                <c:pt idx="0">
                  <c:v>19106.891037000001</c:v>
                </c:pt>
                <c:pt idx="1">
                  <c:v>31653.626755000001</c:v>
                </c:pt>
                <c:pt idx="2">
                  <c:v>63456.509956000002</c:v>
                </c:pt>
                <c:pt idx="3">
                  <c:v>95989.168741999994</c:v>
                </c:pt>
                <c:pt idx="4">
                  <c:v>134893.68056499999</c:v>
                </c:pt>
                <c:pt idx="5">
                  <c:v>199413.33764400001</c:v>
                </c:pt>
                <c:pt idx="6">
                  <c:v>75708.026524000001</c:v>
                </c:pt>
                <c:pt idx="7">
                  <c:v>87258.042801000003</c:v>
                </c:pt>
                <c:pt idx="8">
                  <c:v>99139.620261999997</c:v>
                </c:pt>
                <c:pt idx="9">
                  <c:v>109554.36437</c:v>
                </c:pt>
                <c:pt idx="10">
                  <c:v>116264.84927799999</c:v>
                </c:pt>
                <c:pt idx="11">
                  <c:v>122622.40775300001</c:v>
                </c:pt>
                <c:pt idx="12">
                  <c:v>136176.119523</c:v>
                </c:pt>
                <c:pt idx="13">
                  <c:v>146869.759659</c:v>
                </c:pt>
                <c:pt idx="14">
                  <c:v>155356.917182</c:v>
                </c:pt>
                <c:pt idx="15">
                  <c:v>163323.46541100001</c:v>
                </c:pt>
                <c:pt idx="16">
                  <c:v>169376.00936900001</c:v>
                </c:pt>
                <c:pt idx="17">
                  <c:v>173589.95028200001</c:v>
                </c:pt>
                <c:pt idx="18">
                  <c:v>177327.61726200001</c:v>
                </c:pt>
                <c:pt idx="19">
                  <c:v>180142.33377600001</c:v>
                </c:pt>
                <c:pt idx="20">
                  <c:v>182049.10342</c:v>
                </c:pt>
                <c:pt idx="21">
                  <c:v>183658.13957999999</c:v>
                </c:pt>
                <c:pt idx="22">
                  <c:v>185331.90588000001</c:v>
                </c:pt>
                <c:pt idx="23">
                  <c:v>185174.31303300001</c:v>
                </c:pt>
                <c:pt idx="24">
                  <c:v>183002.95858499999</c:v>
                </c:pt>
                <c:pt idx="25">
                  <c:v>179067.77634899999</c:v>
                </c:pt>
                <c:pt idx="26">
                  <c:v>172875.544761</c:v>
                </c:pt>
                <c:pt idx="27">
                  <c:v>173809.509277</c:v>
                </c:pt>
                <c:pt idx="28">
                  <c:v>174391.57238500001</c:v>
                </c:pt>
                <c:pt idx="29">
                  <c:v>174707.19261900001</c:v>
                </c:pt>
                <c:pt idx="30">
                  <c:v>175015.22758899999</c:v>
                </c:pt>
                <c:pt idx="31">
                  <c:v>174735.26063599999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A-4431-A816-82AA22F32DD1}"/>
            </c:ext>
          </c:extLst>
        </c:ser>
        <c:ser>
          <c:idx val="4"/>
          <c:order val="4"/>
          <c:tx>
            <c:strRef>
              <c:f>'Transportation Emissions'!$B$28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Emissions'!$C$28:$AH$28</c:f>
              <c:numCache>
                <c:formatCode>General</c:formatCode>
                <c:ptCount val="32"/>
                <c:pt idx="0">
                  <c:v>10900.915784000001</c:v>
                </c:pt>
                <c:pt idx="1">
                  <c:v>31307.661317999999</c:v>
                </c:pt>
                <c:pt idx="2">
                  <c:v>139322.18994099999</c:v>
                </c:pt>
                <c:pt idx="3">
                  <c:v>237640.44772600001</c:v>
                </c:pt>
                <c:pt idx="4">
                  <c:v>326565.80865199998</c:v>
                </c:pt>
                <c:pt idx="5">
                  <c:v>406421.953729</c:v>
                </c:pt>
                <c:pt idx="6">
                  <c:v>477948.80478599999</c:v>
                </c:pt>
                <c:pt idx="7">
                  <c:v>539102.99585900002</c:v>
                </c:pt>
                <c:pt idx="8">
                  <c:v>592014.75495900004</c:v>
                </c:pt>
                <c:pt idx="9">
                  <c:v>638201.36627300002</c:v>
                </c:pt>
                <c:pt idx="10">
                  <c:v>678298.70392800006</c:v>
                </c:pt>
                <c:pt idx="11">
                  <c:v>712964.062836</c:v>
                </c:pt>
                <c:pt idx="12">
                  <c:v>741997.58019500005</c:v>
                </c:pt>
                <c:pt idx="13">
                  <c:v>766196.49908899993</c:v>
                </c:pt>
                <c:pt idx="14">
                  <c:v>785637.77331199998</c:v>
                </c:pt>
                <c:pt idx="15">
                  <c:v>800332.65006100002</c:v>
                </c:pt>
                <c:pt idx="16">
                  <c:v>810285.42703300004</c:v>
                </c:pt>
                <c:pt idx="17">
                  <c:v>774593.13500599994</c:v>
                </c:pt>
                <c:pt idx="18">
                  <c:v>738904.10432099993</c:v>
                </c:pt>
                <c:pt idx="19">
                  <c:v>703089.04174799996</c:v>
                </c:pt>
                <c:pt idx="20">
                  <c:v>667132.61156800005</c:v>
                </c:pt>
                <c:pt idx="21">
                  <c:v>630829.05881299998</c:v>
                </c:pt>
                <c:pt idx="22">
                  <c:v>593773.59024300007</c:v>
                </c:pt>
                <c:pt idx="23">
                  <c:v>556241.78553300002</c:v>
                </c:pt>
                <c:pt idx="24">
                  <c:v>518179.67713600001</c:v>
                </c:pt>
                <c:pt idx="25">
                  <c:v>479541.70474100002</c:v>
                </c:pt>
                <c:pt idx="26">
                  <c:v>440296.50350599998</c:v>
                </c:pt>
                <c:pt idx="27">
                  <c:v>400570.39067599998</c:v>
                </c:pt>
                <c:pt idx="28">
                  <c:v>360186.33691299998</c:v>
                </c:pt>
                <c:pt idx="29">
                  <c:v>319148.15315600001</c:v>
                </c:pt>
                <c:pt idx="30">
                  <c:v>277464.607174</c:v>
                </c:pt>
                <c:pt idx="31">
                  <c:v>235146.89663500001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6A-4431-A816-82AA22F3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10001"/>
        <c:axId val="51010002"/>
      </c:areaChart>
      <c:catAx>
        <c:axId val="510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10002"/>
        <c:crosses val="autoZero"/>
        <c:auto val="1"/>
        <c:lblAlgn val="ctr"/>
        <c:lblOffset val="100"/>
        <c:tickLblSkip val="2"/>
        <c:noMultiLvlLbl val="0"/>
      </c:catAx>
      <c:valAx>
        <c:axId val="510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1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Emissions'!$B$25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Emissions'!$C$25,'Transportation Emissions'!$AH$25)</c:f>
              <c:numCache>
                <c:formatCode>General</c:formatCode>
                <c:ptCount val="2"/>
                <c:pt idx="0">
                  <c:v>24286308.891982999</c:v>
                </c:pt>
                <c:pt idx="1">
                  <c:v>40572.458707999998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5-40BF-B48F-1DE5EF24F8AD}"/>
            </c:ext>
          </c:extLst>
        </c:ser>
        <c:ser>
          <c:idx val="1"/>
          <c:order val="1"/>
          <c:tx>
            <c:strRef>
              <c:f>'Transportation Emissions'!$B$24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Emissions'!$C$24,'Transportation Emissions'!$AH$24)</c:f>
              <c:numCache>
                <c:formatCode>General</c:formatCode>
                <c:ptCount val="2"/>
                <c:pt idx="0">
                  <c:v>16213787.265347</c:v>
                </c:pt>
                <c:pt idx="1">
                  <c:v>2489451.1468270002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5-40BF-B48F-1DE5EF24F8AD}"/>
            </c:ext>
          </c:extLst>
        </c:ser>
        <c:ser>
          <c:idx val="2"/>
          <c:order val="2"/>
          <c:tx>
            <c:strRef>
              <c:f>'Transportation Emissions'!$B$27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Emissions'!$C$27,'Transportation Emissions'!$AH$27)</c:f>
              <c:numCache>
                <c:formatCode>General</c:formatCode>
                <c:ptCount val="2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B5-40BF-B48F-1DE5EF24F8AD}"/>
            </c:ext>
          </c:extLst>
        </c:ser>
        <c:ser>
          <c:idx val="3"/>
          <c:order val="3"/>
          <c:tx>
            <c:strRef>
              <c:f>'Transportation Emissions'!$B$26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Emissions'!$C$26,'Transportation Emissions'!$AH$26)</c:f>
              <c:numCache>
                <c:formatCode>General</c:formatCode>
                <c:ptCount val="2"/>
                <c:pt idx="0">
                  <c:v>19106.891037000001</c:v>
                </c:pt>
                <c:pt idx="1">
                  <c:v>174735.26063599999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B5-40BF-B48F-1DE5EF24F8AD}"/>
            </c:ext>
          </c:extLst>
        </c:ser>
        <c:ser>
          <c:idx val="4"/>
          <c:order val="4"/>
          <c:tx>
            <c:strRef>
              <c:f>'Transportation Emissions'!$B$28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Emissions'!$C$28,'Transportation Emissions'!$AH$28)</c:f>
              <c:numCache>
                <c:formatCode>General</c:formatCode>
                <c:ptCount val="2"/>
                <c:pt idx="0">
                  <c:v>10900.915784000001</c:v>
                </c:pt>
                <c:pt idx="1">
                  <c:v>235146.89663500001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B5-40BF-B48F-1DE5EF24F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020001"/>
        <c:axId val="51020002"/>
      </c:barChart>
      <c:catAx>
        <c:axId val="510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20002"/>
        <c:crosses val="autoZero"/>
        <c:auto val="1"/>
        <c:lblAlgn val="ctr"/>
        <c:lblOffset val="100"/>
        <c:noMultiLvlLbl val="0"/>
      </c:catAx>
      <c:valAx>
        <c:axId val="510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Emissions'!$B$31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Emissions'!$C$31:$AH$31</c:f>
              <c:numCache>
                <c:formatCode>General</c:formatCode>
                <c:ptCount val="32"/>
                <c:pt idx="0">
                  <c:v>24286308.891982999</c:v>
                </c:pt>
                <c:pt idx="1">
                  <c:v>24217943.462678999</c:v>
                </c:pt>
                <c:pt idx="2">
                  <c:v>23820909.129905</c:v>
                </c:pt>
                <c:pt idx="3">
                  <c:v>23235124.506724</c:v>
                </c:pt>
                <c:pt idx="4">
                  <c:v>21729256.957715001</c:v>
                </c:pt>
                <c:pt idx="5">
                  <c:v>19983793.761712998</c:v>
                </c:pt>
                <c:pt idx="6">
                  <c:v>17567471.694642</c:v>
                </c:pt>
                <c:pt idx="7">
                  <c:v>15775025.652534001</c:v>
                </c:pt>
                <c:pt idx="8">
                  <c:v>13935920.618665</c:v>
                </c:pt>
                <c:pt idx="9">
                  <c:v>12133098.031889999</c:v>
                </c:pt>
                <c:pt idx="10">
                  <c:v>10465393.493543999</c:v>
                </c:pt>
                <c:pt idx="11">
                  <c:v>9040180.9750989992</c:v>
                </c:pt>
                <c:pt idx="12">
                  <c:v>8125462.9742790004</c:v>
                </c:pt>
                <c:pt idx="13">
                  <c:v>7346099.9715400003</c:v>
                </c:pt>
                <c:pt idx="14">
                  <c:v>6649535.0958190002</c:v>
                </c:pt>
                <c:pt idx="15">
                  <c:v>5896490.9297460001</c:v>
                </c:pt>
                <c:pt idx="16">
                  <c:v>5277857.2910679998</c:v>
                </c:pt>
                <c:pt idx="17">
                  <c:v>4659919.9391890001</c:v>
                </c:pt>
                <c:pt idx="18">
                  <c:v>4065903.242782</c:v>
                </c:pt>
                <c:pt idx="19">
                  <c:v>3517913.282997</c:v>
                </c:pt>
                <c:pt idx="20">
                  <c:v>3071625.17239</c:v>
                </c:pt>
                <c:pt idx="21">
                  <c:v>2676574.9806789998</c:v>
                </c:pt>
                <c:pt idx="22">
                  <c:v>2219694.7541479999</c:v>
                </c:pt>
                <c:pt idx="23">
                  <c:v>1823844.9305430001</c:v>
                </c:pt>
                <c:pt idx="24">
                  <c:v>1488496.324304</c:v>
                </c:pt>
                <c:pt idx="25">
                  <c:v>1207471.9085659999</c:v>
                </c:pt>
                <c:pt idx="26">
                  <c:v>972001.47418000002</c:v>
                </c:pt>
                <c:pt idx="27">
                  <c:v>774026.177012</c:v>
                </c:pt>
                <c:pt idx="28">
                  <c:v>605762.93412899994</c:v>
                </c:pt>
                <c:pt idx="29">
                  <c:v>460320.83480000001</c:v>
                </c:pt>
                <c:pt idx="30">
                  <c:v>331800.33053899999</c:v>
                </c:pt>
                <c:pt idx="31">
                  <c:v>215622.25657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5-4E59-A032-91E63776C47B}"/>
            </c:ext>
          </c:extLst>
        </c:ser>
        <c:ser>
          <c:idx val="1"/>
          <c:order val="1"/>
          <c:tx>
            <c:strRef>
              <c:f>'Transportation Emissions'!$B$30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Emissions'!$C$30:$AH$30</c:f>
              <c:numCache>
                <c:formatCode>General</c:formatCode>
                <c:ptCount val="32"/>
                <c:pt idx="0">
                  <c:v>16213787.265347</c:v>
                </c:pt>
                <c:pt idx="1">
                  <c:v>15531021.755192</c:v>
                </c:pt>
                <c:pt idx="2">
                  <c:v>15205386.594334001</c:v>
                </c:pt>
                <c:pt idx="3">
                  <c:v>14842170.687015999</c:v>
                </c:pt>
                <c:pt idx="4">
                  <c:v>14122210.700129</c:v>
                </c:pt>
                <c:pt idx="5">
                  <c:v>13408739.366547</c:v>
                </c:pt>
                <c:pt idx="6">
                  <c:v>12761561.596045</c:v>
                </c:pt>
                <c:pt idx="7">
                  <c:v>12066744.08921</c:v>
                </c:pt>
                <c:pt idx="8">
                  <c:v>11413489.320296001</c:v>
                </c:pt>
                <c:pt idx="9">
                  <c:v>10785555.120748</c:v>
                </c:pt>
                <c:pt idx="10">
                  <c:v>10184660.742955999</c:v>
                </c:pt>
                <c:pt idx="11">
                  <c:v>9622386.6497840006</c:v>
                </c:pt>
                <c:pt idx="12">
                  <c:v>9239758.1206090003</c:v>
                </c:pt>
                <c:pt idx="13">
                  <c:v>8880365.3094609994</c:v>
                </c:pt>
                <c:pt idx="14">
                  <c:v>8533633.761101</c:v>
                </c:pt>
                <c:pt idx="15">
                  <c:v>8189599.8103870004</c:v>
                </c:pt>
                <c:pt idx="16">
                  <c:v>7872010.3465360003</c:v>
                </c:pt>
                <c:pt idx="17">
                  <c:v>7562693.2811079994</c:v>
                </c:pt>
                <c:pt idx="18">
                  <c:v>7264205.2393999994</c:v>
                </c:pt>
                <c:pt idx="19">
                  <c:v>6978829.708075</c:v>
                </c:pt>
                <c:pt idx="20">
                  <c:v>6802549.141357</c:v>
                </c:pt>
                <c:pt idx="21">
                  <c:v>6636570.4465379994</c:v>
                </c:pt>
                <c:pt idx="22">
                  <c:v>6400075.5716589997</c:v>
                </c:pt>
                <c:pt idx="23">
                  <c:v>6178079.8283510003</c:v>
                </c:pt>
                <c:pt idx="24">
                  <c:v>5970363.7680320004</c:v>
                </c:pt>
                <c:pt idx="25">
                  <c:v>5776031.7679740004</c:v>
                </c:pt>
                <c:pt idx="26">
                  <c:v>5593899.6722020004</c:v>
                </c:pt>
                <c:pt idx="27">
                  <c:v>5423171.7284970004</c:v>
                </c:pt>
                <c:pt idx="28">
                  <c:v>5262516.4219599999</c:v>
                </c:pt>
                <c:pt idx="29">
                  <c:v>5111098.2096150015</c:v>
                </c:pt>
                <c:pt idx="30">
                  <c:v>4968215.5290270001</c:v>
                </c:pt>
                <c:pt idx="31">
                  <c:v>4833335.307298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5-4E59-A032-91E63776C47B}"/>
            </c:ext>
          </c:extLst>
        </c:ser>
        <c:ser>
          <c:idx val="2"/>
          <c:order val="2"/>
          <c:tx>
            <c:strRef>
              <c:f>'Transportation Emissions'!$B$33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Emissions'!$C$33:$AH$33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7785012.07424</c:v>
                </c:pt>
                <c:pt idx="3">
                  <c:v>7697540.2657160005</c:v>
                </c:pt>
                <c:pt idx="4">
                  <c:v>7610068.4571930002</c:v>
                </c:pt>
                <c:pt idx="5">
                  <c:v>7522596.1794330003</c:v>
                </c:pt>
                <c:pt idx="6">
                  <c:v>7435123.9016730003</c:v>
                </c:pt>
                <c:pt idx="7">
                  <c:v>7347652.0931489998</c:v>
                </c:pt>
                <c:pt idx="8">
                  <c:v>7260180.2846259996</c:v>
                </c:pt>
                <c:pt idx="9">
                  <c:v>7172708.0068650004</c:v>
                </c:pt>
                <c:pt idx="10">
                  <c:v>7085235.7291050004</c:v>
                </c:pt>
                <c:pt idx="11">
                  <c:v>6997763.9205820002</c:v>
                </c:pt>
                <c:pt idx="12">
                  <c:v>6910292.1120579997</c:v>
                </c:pt>
                <c:pt idx="13">
                  <c:v>6822819.8342979997</c:v>
                </c:pt>
                <c:pt idx="14">
                  <c:v>6735347.5565379998</c:v>
                </c:pt>
                <c:pt idx="15">
                  <c:v>6647875.7480149996</c:v>
                </c:pt>
                <c:pt idx="16">
                  <c:v>6560403.939491</c:v>
                </c:pt>
                <c:pt idx="17">
                  <c:v>6472931.6617310001</c:v>
                </c:pt>
                <c:pt idx="18">
                  <c:v>6385459.3839710001</c:v>
                </c:pt>
                <c:pt idx="19">
                  <c:v>6297987.5754469996</c:v>
                </c:pt>
                <c:pt idx="20">
                  <c:v>6297987.5754469996</c:v>
                </c:pt>
                <c:pt idx="21">
                  <c:v>6297987.5754469996</c:v>
                </c:pt>
                <c:pt idx="22">
                  <c:v>6297987.5754469996</c:v>
                </c:pt>
                <c:pt idx="23">
                  <c:v>6297987.5754469996</c:v>
                </c:pt>
                <c:pt idx="24">
                  <c:v>6297987.5754469996</c:v>
                </c:pt>
                <c:pt idx="25">
                  <c:v>6297987.5754469996</c:v>
                </c:pt>
                <c:pt idx="26">
                  <c:v>6297987.5754469996</c:v>
                </c:pt>
                <c:pt idx="27">
                  <c:v>6297987.5754469996</c:v>
                </c:pt>
                <c:pt idx="28">
                  <c:v>6297987.5754469996</c:v>
                </c:pt>
                <c:pt idx="29">
                  <c:v>6297987.5754469996</c:v>
                </c:pt>
                <c:pt idx="30">
                  <c:v>6297987.5754469996</c:v>
                </c:pt>
                <c:pt idx="3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35-4E59-A032-91E63776C47B}"/>
            </c:ext>
          </c:extLst>
        </c:ser>
        <c:ser>
          <c:idx val="3"/>
          <c:order val="3"/>
          <c:tx>
            <c:strRef>
              <c:f>'Transportation Emissions'!$B$32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Emissions'!$C$32:$AH$32</c:f>
              <c:numCache>
                <c:formatCode>General</c:formatCode>
                <c:ptCount val="32"/>
                <c:pt idx="0">
                  <c:v>19106.891037000001</c:v>
                </c:pt>
                <c:pt idx="1">
                  <c:v>40728.208795000013</c:v>
                </c:pt>
                <c:pt idx="2">
                  <c:v>70948.252295999991</c:v>
                </c:pt>
                <c:pt idx="3">
                  <c:v>101419.65686800001</c:v>
                </c:pt>
                <c:pt idx="4">
                  <c:v>130995.943411</c:v>
                </c:pt>
                <c:pt idx="5">
                  <c:v>162126.35386100001</c:v>
                </c:pt>
                <c:pt idx="6">
                  <c:v>62181.432153000002</c:v>
                </c:pt>
                <c:pt idx="7">
                  <c:v>71437.115791999997</c:v>
                </c:pt>
                <c:pt idx="8">
                  <c:v>84163.482363999996</c:v>
                </c:pt>
                <c:pt idx="9">
                  <c:v>98245.281013</c:v>
                </c:pt>
                <c:pt idx="10">
                  <c:v>109600.196281</c:v>
                </c:pt>
                <c:pt idx="11">
                  <c:v>119550.158486</c:v>
                </c:pt>
                <c:pt idx="12">
                  <c:v>137346.49598599999</c:v>
                </c:pt>
                <c:pt idx="13">
                  <c:v>153058.913226</c:v>
                </c:pt>
                <c:pt idx="14">
                  <c:v>167303.278575</c:v>
                </c:pt>
                <c:pt idx="15">
                  <c:v>182312.26366699999</c:v>
                </c:pt>
                <c:pt idx="16">
                  <c:v>194461.43080100001</c:v>
                </c:pt>
                <c:pt idx="17">
                  <c:v>205510.98785500001</c:v>
                </c:pt>
                <c:pt idx="18">
                  <c:v>215143.18398900001</c:v>
                </c:pt>
                <c:pt idx="19">
                  <c:v>222108.37294199999</c:v>
                </c:pt>
                <c:pt idx="20">
                  <c:v>225656.62778099999</c:v>
                </c:pt>
                <c:pt idx="21">
                  <c:v>225634.719316</c:v>
                </c:pt>
                <c:pt idx="22">
                  <c:v>222023.16862400001</c:v>
                </c:pt>
                <c:pt idx="23">
                  <c:v>214668.71395400001</c:v>
                </c:pt>
                <c:pt idx="24">
                  <c:v>203742.702433</c:v>
                </c:pt>
                <c:pt idx="25">
                  <c:v>189945.07443199999</c:v>
                </c:pt>
                <c:pt idx="26">
                  <c:v>173071.64499299999</c:v>
                </c:pt>
                <c:pt idx="27">
                  <c:v>176847.022299</c:v>
                </c:pt>
                <c:pt idx="28">
                  <c:v>180190.94383599999</c:v>
                </c:pt>
                <c:pt idx="29">
                  <c:v>183204.92468299999</c:v>
                </c:pt>
                <c:pt idx="30">
                  <c:v>186210.16173299999</c:v>
                </c:pt>
                <c:pt idx="31">
                  <c:v>188551.203481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35-4E59-A032-91E63776C47B}"/>
            </c:ext>
          </c:extLst>
        </c:ser>
        <c:ser>
          <c:idx val="4"/>
          <c:order val="4"/>
          <c:tx>
            <c:strRef>
              <c:f>'Transportation Emissions'!$B$34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Emissions'!$C$34:$AH$34</c:f>
              <c:numCache>
                <c:formatCode>General</c:formatCode>
                <c:ptCount val="32"/>
                <c:pt idx="0">
                  <c:v>10900.915784000001</c:v>
                </c:pt>
                <c:pt idx="1">
                  <c:v>10900.915784000001</c:v>
                </c:pt>
                <c:pt idx="2">
                  <c:v>10797.434009000001</c:v>
                </c:pt>
                <c:pt idx="3">
                  <c:v>10693.952794000001</c:v>
                </c:pt>
                <c:pt idx="4">
                  <c:v>10142.625399</c:v>
                </c:pt>
                <c:pt idx="5">
                  <c:v>9601.5934180000004</c:v>
                </c:pt>
                <c:pt idx="6">
                  <c:v>9070.8561460000001</c:v>
                </c:pt>
                <c:pt idx="7">
                  <c:v>8550.4152620000004</c:v>
                </c:pt>
                <c:pt idx="8">
                  <c:v>8040.2690570000004</c:v>
                </c:pt>
                <c:pt idx="9">
                  <c:v>7540.4177449999997</c:v>
                </c:pt>
                <c:pt idx="10">
                  <c:v>7050.8623589999997</c:v>
                </c:pt>
                <c:pt idx="11">
                  <c:v>6571.6020589999998</c:v>
                </c:pt>
                <c:pt idx="12">
                  <c:v>6317.9305029999996</c:v>
                </c:pt>
                <c:pt idx="13">
                  <c:v>6069.1029090000002</c:v>
                </c:pt>
                <c:pt idx="14">
                  <c:v>5825.1207450000002</c:v>
                </c:pt>
                <c:pt idx="15">
                  <c:v>5585.9837259999986</c:v>
                </c:pt>
                <c:pt idx="16">
                  <c:v>5351.6909939999996</c:v>
                </c:pt>
                <c:pt idx="17">
                  <c:v>5122.243391</c:v>
                </c:pt>
                <c:pt idx="18">
                  <c:v>4897.6406459999998</c:v>
                </c:pt>
                <c:pt idx="19">
                  <c:v>4677.8824699999996</c:v>
                </c:pt>
                <c:pt idx="20">
                  <c:v>4503.4679839999999</c:v>
                </c:pt>
                <c:pt idx="21">
                  <c:v>4329.0532359999997</c:v>
                </c:pt>
                <c:pt idx="22">
                  <c:v>3997.6654990000002</c:v>
                </c:pt>
                <c:pt idx="23">
                  <c:v>3666.2775019999999</c:v>
                </c:pt>
                <c:pt idx="24">
                  <c:v>3334.8897649999999</c:v>
                </c:pt>
                <c:pt idx="25">
                  <c:v>3003.5017680000001</c:v>
                </c:pt>
                <c:pt idx="26">
                  <c:v>2672.1140300000002</c:v>
                </c:pt>
                <c:pt idx="27">
                  <c:v>2340.7261629999998</c:v>
                </c:pt>
                <c:pt idx="28">
                  <c:v>2009.338299</c:v>
                </c:pt>
                <c:pt idx="29">
                  <c:v>1677.9504320000001</c:v>
                </c:pt>
                <c:pt idx="30">
                  <c:v>1346.5625680000001</c:v>
                </c:pt>
                <c:pt idx="31">
                  <c:v>1015.174699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35-4E59-A032-91E63776C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30001"/>
        <c:axId val="51030002"/>
      </c:areaChart>
      <c:catAx>
        <c:axId val="510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30002"/>
        <c:crosses val="autoZero"/>
        <c:auto val="1"/>
        <c:lblAlgn val="ctr"/>
        <c:lblOffset val="100"/>
        <c:tickLblSkip val="2"/>
        <c:noMultiLvlLbl val="0"/>
      </c:catAx>
      <c:valAx>
        <c:axId val="510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3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Emissions'!$B$31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Emissions'!$C$31,'Transportation Emissions'!$AH$31)</c:f>
              <c:numCache>
                <c:formatCode>General</c:formatCode>
                <c:ptCount val="2"/>
                <c:pt idx="0">
                  <c:v>24286308.891982999</c:v>
                </c:pt>
                <c:pt idx="1">
                  <c:v>215622.25657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D-460C-A3DA-3174A69F6899}"/>
            </c:ext>
          </c:extLst>
        </c:ser>
        <c:ser>
          <c:idx val="1"/>
          <c:order val="1"/>
          <c:tx>
            <c:strRef>
              <c:f>'Transportation Emissions'!$B$30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Emissions'!$C$30,'Transportation Emissions'!$AH$30)</c:f>
              <c:numCache>
                <c:formatCode>General</c:formatCode>
                <c:ptCount val="2"/>
                <c:pt idx="0">
                  <c:v>16213787.265347</c:v>
                </c:pt>
                <c:pt idx="1">
                  <c:v>4833335.307298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D-460C-A3DA-3174A69F6899}"/>
            </c:ext>
          </c:extLst>
        </c:ser>
        <c:ser>
          <c:idx val="2"/>
          <c:order val="2"/>
          <c:tx>
            <c:strRef>
              <c:f>'Transportation Emissions'!$B$33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Emissions'!$C$33,'Transportation Emissions'!$AH$33)</c:f>
              <c:numCache>
                <c:formatCode>General</c:formatCode>
                <c:ptCount val="2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DD-460C-A3DA-3174A69F6899}"/>
            </c:ext>
          </c:extLst>
        </c:ser>
        <c:ser>
          <c:idx val="3"/>
          <c:order val="3"/>
          <c:tx>
            <c:strRef>
              <c:f>'Transportation Emissions'!$B$32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Emissions'!$C$32,'Transportation Emissions'!$AH$32)</c:f>
              <c:numCache>
                <c:formatCode>General</c:formatCode>
                <c:ptCount val="2"/>
                <c:pt idx="0">
                  <c:v>19106.891037000001</c:v>
                </c:pt>
                <c:pt idx="1">
                  <c:v>188551.203481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D-460C-A3DA-3174A69F6899}"/>
            </c:ext>
          </c:extLst>
        </c:ser>
        <c:ser>
          <c:idx val="4"/>
          <c:order val="4"/>
          <c:tx>
            <c:strRef>
              <c:f>'Transportation Emissions'!$B$34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Emissions'!$C$34,'Transportation Emissions'!$AH$34)</c:f>
              <c:numCache>
                <c:formatCode>General</c:formatCode>
                <c:ptCount val="2"/>
                <c:pt idx="0">
                  <c:v>10900.915784000001</c:v>
                </c:pt>
                <c:pt idx="1">
                  <c:v>1015.174699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DD-460C-A3DA-3174A69F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040001"/>
        <c:axId val="51040002"/>
      </c:barChart>
      <c:catAx>
        <c:axId val="510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40002"/>
        <c:crosses val="autoZero"/>
        <c:auto val="1"/>
        <c:lblAlgn val="ctr"/>
        <c:lblOffset val="100"/>
        <c:noMultiLvlLbl val="0"/>
      </c:catAx>
      <c:valAx>
        <c:axId val="510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4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Emissions'!$B$37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Emissions'!$C$37:$AH$37</c:f>
              <c:numCache>
                <c:formatCode>General</c:formatCode>
                <c:ptCount val="32"/>
                <c:pt idx="0">
                  <c:v>24286308.891982999</c:v>
                </c:pt>
                <c:pt idx="1">
                  <c:v>24297696.613184001</c:v>
                </c:pt>
                <c:pt idx="2">
                  <c:v>24305709.953127</c:v>
                </c:pt>
                <c:pt idx="3">
                  <c:v>24121831.007941999</c:v>
                </c:pt>
                <c:pt idx="4">
                  <c:v>23991209.181883998</c:v>
                </c:pt>
                <c:pt idx="5">
                  <c:v>23642229.351530001</c:v>
                </c:pt>
                <c:pt idx="6">
                  <c:v>22426236.541423999</c:v>
                </c:pt>
                <c:pt idx="7">
                  <c:v>21835635.082982</c:v>
                </c:pt>
                <c:pt idx="8">
                  <c:v>21155078.383685</c:v>
                </c:pt>
                <c:pt idx="9">
                  <c:v>20471122.281872001</c:v>
                </c:pt>
                <c:pt idx="10">
                  <c:v>19870388.598990999</c:v>
                </c:pt>
                <c:pt idx="11">
                  <c:v>19506597.972920999</c:v>
                </c:pt>
                <c:pt idx="12">
                  <c:v>19307595.031805001</c:v>
                </c:pt>
                <c:pt idx="13">
                  <c:v>19249334.885696001</c:v>
                </c:pt>
                <c:pt idx="14">
                  <c:v>19265362.755231</c:v>
                </c:pt>
                <c:pt idx="15">
                  <c:v>19173895.236751001</c:v>
                </c:pt>
                <c:pt idx="16">
                  <c:v>19225327.474513002</c:v>
                </c:pt>
                <c:pt idx="17">
                  <c:v>19237246.296055</c:v>
                </c:pt>
                <c:pt idx="18">
                  <c:v>19245388.049794</c:v>
                </c:pt>
                <c:pt idx="19">
                  <c:v>19263135.763016</c:v>
                </c:pt>
                <c:pt idx="20">
                  <c:v>19306441.793219998</c:v>
                </c:pt>
                <c:pt idx="21">
                  <c:v>19372179.853209998</c:v>
                </c:pt>
                <c:pt idx="22">
                  <c:v>19422248.966726001</c:v>
                </c:pt>
                <c:pt idx="23">
                  <c:v>19463032.379455</c:v>
                </c:pt>
                <c:pt idx="24">
                  <c:v>19498453.970043</c:v>
                </c:pt>
                <c:pt idx="25">
                  <c:v>19537164.404309001</c:v>
                </c:pt>
                <c:pt idx="26">
                  <c:v>19585611.616</c:v>
                </c:pt>
                <c:pt idx="27">
                  <c:v>19647840.820152</c:v>
                </c:pt>
                <c:pt idx="28">
                  <c:v>19729092.779146001</c:v>
                </c:pt>
                <c:pt idx="29">
                  <c:v>19830531.100655001</c:v>
                </c:pt>
                <c:pt idx="30">
                  <c:v>19950064.977357</c:v>
                </c:pt>
                <c:pt idx="31">
                  <c:v>20078370.999499999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7-4445-A1FC-07CD78EF08A6}"/>
            </c:ext>
          </c:extLst>
        </c:ser>
        <c:ser>
          <c:idx val="1"/>
          <c:order val="1"/>
          <c:tx>
            <c:strRef>
              <c:f>'Transportation Emissions'!$B$36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Emissions'!$C$36:$AH$36</c:f>
              <c:numCache>
                <c:formatCode>General</c:formatCode>
                <c:ptCount val="32"/>
                <c:pt idx="0">
                  <c:v>16213787.265347</c:v>
                </c:pt>
                <c:pt idx="1">
                  <c:v>15618834.794822</c:v>
                </c:pt>
                <c:pt idx="2">
                  <c:v>15608886.437684</c:v>
                </c:pt>
                <c:pt idx="3">
                  <c:v>15554648.9647</c:v>
                </c:pt>
                <c:pt idx="4">
                  <c:v>15519720.949983999</c:v>
                </c:pt>
                <c:pt idx="5">
                  <c:v>15468091.068451</c:v>
                </c:pt>
                <c:pt idx="6">
                  <c:v>15468104.607917</c:v>
                </c:pt>
                <c:pt idx="7">
                  <c:v>15375688.142406</c:v>
                </c:pt>
                <c:pt idx="8">
                  <c:v>15310444.634891</c:v>
                </c:pt>
                <c:pt idx="9">
                  <c:v>15254690.150757</c:v>
                </c:pt>
                <c:pt idx="10">
                  <c:v>15205551.065053999</c:v>
                </c:pt>
                <c:pt idx="11">
                  <c:v>15179172.693264</c:v>
                </c:pt>
                <c:pt idx="12">
                  <c:v>15155935.415913001</c:v>
                </c:pt>
                <c:pt idx="13">
                  <c:v>15148536.602435</c:v>
                </c:pt>
                <c:pt idx="14">
                  <c:v>15140104.453446999</c:v>
                </c:pt>
                <c:pt idx="15">
                  <c:v>15122363.813806999</c:v>
                </c:pt>
                <c:pt idx="16">
                  <c:v>15127427.72817</c:v>
                </c:pt>
                <c:pt idx="17">
                  <c:v>15130145.135726999</c:v>
                </c:pt>
                <c:pt idx="18">
                  <c:v>15135155.345528999</c:v>
                </c:pt>
                <c:pt idx="19">
                  <c:v>15143479.841185</c:v>
                </c:pt>
                <c:pt idx="20">
                  <c:v>15157397.464677</c:v>
                </c:pt>
                <c:pt idx="21">
                  <c:v>15176435.039532</c:v>
                </c:pt>
                <c:pt idx="22">
                  <c:v>15192241.262579</c:v>
                </c:pt>
                <c:pt idx="23">
                  <c:v>15208907.550524</c:v>
                </c:pt>
                <c:pt idx="24">
                  <c:v>15226547.194613</c:v>
                </c:pt>
                <c:pt idx="25">
                  <c:v>15245672.830026999</c:v>
                </c:pt>
                <c:pt idx="26">
                  <c:v>15266625.498369001</c:v>
                </c:pt>
                <c:pt idx="27">
                  <c:v>15292203.048435999</c:v>
                </c:pt>
                <c:pt idx="28">
                  <c:v>15320306.321846001</c:v>
                </c:pt>
                <c:pt idx="29">
                  <c:v>15350901.613945</c:v>
                </c:pt>
                <c:pt idx="30">
                  <c:v>15383661.147554001</c:v>
                </c:pt>
                <c:pt idx="31">
                  <c:v>15417472.701508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7-4445-A1FC-07CD78EF08A6}"/>
            </c:ext>
          </c:extLst>
        </c:ser>
        <c:ser>
          <c:idx val="2"/>
          <c:order val="2"/>
          <c:tx>
            <c:strRef>
              <c:f>'Transportation Emissions'!$B$39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Emissions'!$C$39:$AH$39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7872484.352</c:v>
                </c:pt>
                <c:pt idx="3">
                  <c:v>7872484.352</c:v>
                </c:pt>
                <c:pt idx="4">
                  <c:v>7872484.352</c:v>
                </c:pt>
                <c:pt idx="5">
                  <c:v>7872484.352</c:v>
                </c:pt>
                <c:pt idx="6">
                  <c:v>7872484.352</c:v>
                </c:pt>
                <c:pt idx="7">
                  <c:v>7872484.352</c:v>
                </c:pt>
                <c:pt idx="8">
                  <c:v>7872484.352</c:v>
                </c:pt>
                <c:pt idx="9">
                  <c:v>7872484.352</c:v>
                </c:pt>
                <c:pt idx="10">
                  <c:v>7872484.352</c:v>
                </c:pt>
                <c:pt idx="11">
                  <c:v>7872484.352</c:v>
                </c:pt>
                <c:pt idx="12">
                  <c:v>7872484.352</c:v>
                </c:pt>
                <c:pt idx="13">
                  <c:v>7872484.352</c:v>
                </c:pt>
                <c:pt idx="14">
                  <c:v>7872484.352</c:v>
                </c:pt>
                <c:pt idx="15">
                  <c:v>7872484.352</c:v>
                </c:pt>
                <c:pt idx="16">
                  <c:v>7872484.352</c:v>
                </c:pt>
                <c:pt idx="17">
                  <c:v>7872484.352</c:v>
                </c:pt>
                <c:pt idx="18">
                  <c:v>7872484.352</c:v>
                </c:pt>
                <c:pt idx="19">
                  <c:v>7872484.352</c:v>
                </c:pt>
                <c:pt idx="20">
                  <c:v>7872484.352</c:v>
                </c:pt>
                <c:pt idx="21">
                  <c:v>7872484.352</c:v>
                </c:pt>
                <c:pt idx="22">
                  <c:v>7872484.352</c:v>
                </c:pt>
                <c:pt idx="23">
                  <c:v>7872484.352</c:v>
                </c:pt>
                <c:pt idx="24">
                  <c:v>7872484.352</c:v>
                </c:pt>
                <c:pt idx="25">
                  <c:v>7872484.352</c:v>
                </c:pt>
                <c:pt idx="26">
                  <c:v>7872484.352</c:v>
                </c:pt>
                <c:pt idx="27">
                  <c:v>7872484.352</c:v>
                </c:pt>
                <c:pt idx="28">
                  <c:v>7872484.352</c:v>
                </c:pt>
                <c:pt idx="29">
                  <c:v>7872484.352</c:v>
                </c:pt>
                <c:pt idx="30">
                  <c:v>7872484.352</c:v>
                </c:pt>
                <c:pt idx="31">
                  <c:v>7872484.352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7-4445-A1FC-07CD78EF08A6}"/>
            </c:ext>
          </c:extLst>
        </c:ser>
        <c:ser>
          <c:idx val="3"/>
          <c:order val="3"/>
          <c:tx>
            <c:strRef>
              <c:f>'Transportation Emissions'!$B$38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Emissions'!$C$38:$AH$38</c:f>
              <c:numCache>
                <c:formatCode>General</c:formatCode>
                <c:ptCount val="32"/>
                <c:pt idx="0">
                  <c:v>19106.891037000001</c:v>
                </c:pt>
                <c:pt idx="1">
                  <c:v>27113.376141000001</c:v>
                </c:pt>
                <c:pt idx="2">
                  <c:v>32614.639584</c:v>
                </c:pt>
                <c:pt idx="3">
                  <c:v>36694.517627000001</c:v>
                </c:pt>
                <c:pt idx="4">
                  <c:v>41428.248452</c:v>
                </c:pt>
                <c:pt idx="5">
                  <c:v>45272.642745999998</c:v>
                </c:pt>
                <c:pt idx="6">
                  <c:v>53660.099670000003</c:v>
                </c:pt>
                <c:pt idx="7">
                  <c:v>56768.587366</c:v>
                </c:pt>
                <c:pt idx="8">
                  <c:v>60518.479285000001</c:v>
                </c:pt>
                <c:pt idx="9">
                  <c:v>63925.108684999999</c:v>
                </c:pt>
                <c:pt idx="10">
                  <c:v>67304.332446999993</c:v>
                </c:pt>
                <c:pt idx="11">
                  <c:v>70692.032366999993</c:v>
                </c:pt>
                <c:pt idx="12">
                  <c:v>72483.830188000007</c:v>
                </c:pt>
                <c:pt idx="13">
                  <c:v>72875.464905000001</c:v>
                </c:pt>
                <c:pt idx="14">
                  <c:v>74136.570187999998</c:v>
                </c:pt>
                <c:pt idx="15">
                  <c:v>74271.745194999996</c:v>
                </c:pt>
                <c:pt idx="16">
                  <c:v>74810.465744000001</c:v>
                </c:pt>
                <c:pt idx="17">
                  <c:v>74890.536926000001</c:v>
                </c:pt>
                <c:pt idx="18">
                  <c:v>74934.323371999999</c:v>
                </c:pt>
                <c:pt idx="19">
                  <c:v>75077.846225999994</c:v>
                </c:pt>
                <c:pt idx="20">
                  <c:v>75417.244756</c:v>
                </c:pt>
                <c:pt idx="21">
                  <c:v>75903.037503</c:v>
                </c:pt>
                <c:pt idx="22">
                  <c:v>76327.428600999992</c:v>
                </c:pt>
                <c:pt idx="23">
                  <c:v>76687.255961000003</c:v>
                </c:pt>
                <c:pt idx="24">
                  <c:v>77002.355618000001</c:v>
                </c:pt>
                <c:pt idx="25">
                  <c:v>77324.238251999996</c:v>
                </c:pt>
                <c:pt idx="26">
                  <c:v>77693.624892000007</c:v>
                </c:pt>
                <c:pt idx="27">
                  <c:v>78114.28357</c:v>
                </c:pt>
                <c:pt idx="28">
                  <c:v>78642.385741000006</c:v>
                </c:pt>
                <c:pt idx="29">
                  <c:v>79285.426676999996</c:v>
                </c:pt>
                <c:pt idx="30">
                  <c:v>80030.334380999993</c:v>
                </c:pt>
                <c:pt idx="31">
                  <c:v>80828.007649000006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7-4445-A1FC-07CD78EF08A6}"/>
            </c:ext>
          </c:extLst>
        </c:ser>
        <c:ser>
          <c:idx val="4"/>
          <c:order val="4"/>
          <c:tx>
            <c:strRef>
              <c:f>'Transportation Emissions'!$B$40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Emissions'!$C$40:$AH$40</c:f>
              <c:numCache>
                <c:formatCode>General</c:formatCode>
                <c:ptCount val="32"/>
                <c:pt idx="0">
                  <c:v>10900.915784000001</c:v>
                </c:pt>
                <c:pt idx="1">
                  <c:v>10900.915784000001</c:v>
                </c:pt>
                <c:pt idx="2">
                  <c:v>10900.915784000001</c:v>
                </c:pt>
                <c:pt idx="3">
                  <c:v>10900.915784000001</c:v>
                </c:pt>
                <c:pt idx="4">
                  <c:v>10900.915784000001</c:v>
                </c:pt>
                <c:pt idx="5">
                  <c:v>10900.915784000001</c:v>
                </c:pt>
                <c:pt idx="6">
                  <c:v>10900.915784000001</c:v>
                </c:pt>
                <c:pt idx="7">
                  <c:v>10900.915784000001</c:v>
                </c:pt>
                <c:pt idx="8">
                  <c:v>10900.915784000001</c:v>
                </c:pt>
                <c:pt idx="9">
                  <c:v>10900.915784000001</c:v>
                </c:pt>
                <c:pt idx="10">
                  <c:v>10900.915784000001</c:v>
                </c:pt>
                <c:pt idx="11">
                  <c:v>10900.915784000001</c:v>
                </c:pt>
                <c:pt idx="12">
                  <c:v>10900.915784000001</c:v>
                </c:pt>
                <c:pt idx="13">
                  <c:v>10900.915784000001</c:v>
                </c:pt>
                <c:pt idx="14">
                  <c:v>10900.915784000001</c:v>
                </c:pt>
                <c:pt idx="15">
                  <c:v>10900.915784000001</c:v>
                </c:pt>
                <c:pt idx="16">
                  <c:v>10900.915784000001</c:v>
                </c:pt>
                <c:pt idx="17">
                  <c:v>10900.915784000001</c:v>
                </c:pt>
                <c:pt idx="18">
                  <c:v>10900.915784000001</c:v>
                </c:pt>
                <c:pt idx="19">
                  <c:v>10900.915784000001</c:v>
                </c:pt>
                <c:pt idx="20">
                  <c:v>10900.915784000001</c:v>
                </c:pt>
                <c:pt idx="21">
                  <c:v>10900.915784000001</c:v>
                </c:pt>
                <c:pt idx="22">
                  <c:v>10900.915784000001</c:v>
                </c:pt>
                <c:pt idx="23">
                  <c:v>10900.915784000001</c:v>
                </c:pt>
                <c:pt idx="24">
                  <c:v>10900.915784000001</c:v>
                </c:pt>
                <c:pt idx="25">
                  <c:v>10900.915784000001</c:v>
                </c:pt>
                <c:pt idx="26">
                  <c:v>10900.915784000001</c:v>
                </c:pt>
                <c:pt idx="27">
                  <c:v>10900.915784000001</c:v>
                </c:pt>
                <c:pt idx="28">
                  <c:v>10900.915784000001</c:v>
                </c:pt>
                <c:pt idx="29">
                  <c:v>10900.915784000001</c:v>
                </c:pt>
                <c:pt idx="30">
                  <c:v>10900.915784000001</c:v>
                </c:pt>
                <c:pt idx="31">
                  <c:v>10900.915784000001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C7-4445-A1FC-07CD78EF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50001"/>
        <c:axId val="51050002"/>
      </c:areaChart>
      <c:catAx>
        <c:axId val="510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50002"/>
        <c:crosses val="autoZero"/>
        <c:auto val="1"/>
        <c:lblAlgn val="ctr"/>
        <c:lblOffset val="100"/>
        <c:tickLblSkip val="2"/>
        <c:noMultiLvlLbl val="0"/>
      </c:catAx>
      <c:valAx>
        <c:axId val="510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5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Emissions'!$B$37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Emissions'!$C$37,'Transportation Emissions'!$AH$37)</c:f>
              <c:numCache>
                <c:formatCode>General</c:formatCode>
                <c:ptCount val="2"/>
                <c:pt idx="0">
                  <c:v>24286308.891982999</c:v>
                </c:pt>
                <c:pt idx="1">
                  <c:v>20078370.999499999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B-45E0-8E38-82E00C83504E}"/>
            </c:ext>
          </c:extLst>
        </c:ser>
        <c:ser>
          <c:idx val="1"/>
          <c:order val="1"/>
          <c:tx>
            <c:strRef>
              <c:f>'Transportation Emissions'!$B$36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Emissions'!$C$36,'Transportation Emissions'!$AH$36)</c:f>
              <c:numCache>
                <c:formatCode>General</c:formatCode>
                <c:ptCount val="2"/>
                <c:pt idx="0">
                  <c:v>16213787.265347</c:v>
                </c:pt>
                <c:pt idx="1">
                  <c:v>15417472.701508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B-45E0-8E38-82E00C83504E}"/>
            </c:ext>
          </c:extLst>
        </c:ser>
        <c:ser>
          <c:idx val="2"/>
          <c:order val="2"/>
          <c:tx>
            <c:strRef>
              <c:f>'Transportation Emissions'!$B$39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Emissions'!$C$39,'Transportation Emissions'!$AH$39)</c:f>
              <c:numCache>
                <c:formatCode>General</c:formatCode>
                <c:ptCount val="2"/>
                <c:pt idx="0">
                  <c:v>7872484.352</c:v>
                </c:pt>
                <c:pt idx="1">
                  <c:v>7872484.352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CB-45E0-8E38-82E00C83504E}"/>
            </c:ext>
          </c:extLst>
        </c:ser>
        <c:ser>
          <c:idx val="3"/>
          <c:order val="3"/>
          <c:tx>
            <c:strRef>
              <c:f>'Transportation Emissions'!$B$38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Emissions'!$C$38,'Transportation Emissions'!$AH$38)</c:f>
              <c:numCache>
                <c:formatCode>General</c:formatCode>
                <c:ptCount val="2"/>
                <c:pt idx="0">
                  <c:v>19106.891037000001</c:v>
                </c:pt>
                <c:pt idx="1">
                  <c:v>80828.007649000006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B-45E0-8E38-82E00C83504E}"/>
            </c:ext>
          </c:extLst>
        </c:ser>
        <c:ser>
          <c:idx val="4"/>
          <c:order val="4"/>
          <c:tx>
            <c:strRef>
              <c:f>'Transportation Emissions'!$B$40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Emissions'!$C$40,'Transportation Emissions'!$AH$40)</c:f>
              <c:numCache>
                <c:formatCode>General</c:formatCode>
                <c:ptCount val="2"/>
                <c:pt idx="0">
                  <c:v>10900.915784000001</c:v>
                </c:pt>
                <c:pt idx="1">
                  <c:v>10900.915784000001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CB-45E0-8E38-82E00C835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060001"/>
        <c:axId val="51060002"/>
      </c:barChart>
      <c:catAx>
        <c:axId val="510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60002"/>
        <c:crosses val="autoZero"/>
        <c:auto val="1"/>
        <c:lblAlgn val="ctr"/>
        <c:lblOffset val="100"/>
        <c:noMultiLvlLbl val="0"/>
      </c:catAx>
      <c:valAx>
        <c:axId val="510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6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Emissions'!$B$47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Emissions'!$C$47:$AH$47</c:f>
              <c:numCache>
                <c:formatCode>General</c:formatCode>
                <c:ptCount val="32"/>
                <c:pt idx="0">
                  <c:v>18055216.234627001</c:v>
                </c:pt>
                <c:pt idx="1">
                  <c:v>16504911.261417</c:v>
                </c:pt>
                <c:pt idx="2">
                  <c:v>15288520.170885</c:v>
                </c:pt>
                <c:pt idx="3">
                  <c:v>14128876.577988001</c:v>
                </c:pt>
                <c:pt idx="4">
                  <c:v>13019398.679794</c:v>
                </c:pt>
                <c:pt idx="5">
                  <c:v>11960490.298528001</c:v>
                </c:pt>
                <c:pt idx="6">
                  <c:v>10531582.09169</c:v>
                </c:pt>
                <c:pt idx="7">
                  <c:v>9443292.9754790012</c:v>
                </c:pt>
                <c:pt idx="8">
                  <c:v>8407742.4684309997</c:v>
                </c:pt>
                <c:pt idx="9">
                  <c:v>7435126.3064670004</c:v>
                </c:pt>
                <c:pt idx="10">
                  <c:v>6519672.6110410001</c:v>
                </c:pt>
                <c:pt idx="11">
                  <c:v>5662126.9781170003</c:v>
                </c:pt>
                <c:pt idx="12">
                  <c:v>4862823.4025900001</c:v>
                </c:pt>
                <c:pt idx="13">
                  <c:v>4105662.6411239998</c:v>
                </c:pt>
                <c:pt idx="14">
                  <c:v>3384545.727467</c:v>
                </c:pt>
                <c:pt idx="15">
                  <c:v>2694876.8907880001</c:v>
                </c:pt>
                <c:pt idx="16">
                  <c:v>2033870.179208</c:v>
                </c:pt>
                <c:pt idx="17">
                  <c:v>1873207.443551</c:v>
                </c:pt>
                <c:pt idx="18">
                  <c:v>1718323.674195</c:v>
                </c:pt>
                <c:pt idx="19">
                  <c:v>1568779.4289849999</c:v>
                </c:pt>
                <c:pt idx="20">
                  <c:v>1441935.0363129999</c:v>
                </c:pt>
                <c:pt idx="21">
                  <c:v>1317148.9243920001</c:v>
                </c:pt>
                <c:pt idx="22">
                  <c:v>1194235.0123050001</c:v>
                </c:pt>
                <c:pt idx="23">
                  <c:v>1071529.9320429999</c:v>
                </c:pt>
                <c:pt idx="24">
                  <c:v>948838.11422800005</c:v>
                </c:pt>
                <c:pt idx="25">
                  <c:v>826147.47981199995</c:v>
                </c:pt>
                <c:pt idx="26">
                  <c:v>702844.84234600002</c:v>
                </c:pt>
                <c:pt idx="27">
                  <c:v>589118.78064600006</c:v>
                </c:pt>
                <c:pt idx="28">
                  <c:v>476071.32273999997</c:v>
                </c:pt>
                <c:pt idx="29">
                  <c:v>363646.72673699999</c:v>
                </c:pt>
                <c:pt idx="30">
                  <c:v>251949.91442300001</c:v>
                </c:pt>
                <c:pt idx="31">
                  <c:v>140600.57557099999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D27-9B7E-F409679C7C80}"/>
            </c:ext>
          </c:extLst>
        </c:ser>
        <c:ser>
          <c:idx val="1"/>
          <c:order val="1"/>
          <c:tx>
            <c:strRef>
              <c:f>'Transportation Emissions'!$B$46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Emissions'!$C$46:$AH$46</c:f>
              <c:numCache>
                <c:formatCode>General</c:formatCode>
                <c:ptCount val="32"/>
                <c:pt idx="0">
                  <c:v>8422611.7638140004</c:v>
                </c:pt>
                <c:pt idx="1">
                  <c:v>8778303.0558250006</c:v>
                </c:pt>
                <c:pt idx="2">
                  <c:v>8465286.1794109996</c:v>
                </c:pt>
                <c:pt idx="3">
                  <c:v>8163460.2546429997</c:v>
                </c:pt>
                <c:pt idx="4">
                  <c:v>7834804.4721959997</c:v>
                </c:pt>
                <c:pt idx="5">
                  <c:v>7411360.960469</c:v>
                </c:pt>
                <c:pt idx="6">
                  <c:v>6476263.1615700005</c:v>
                </c:pt>
                <c:pt idx="7">
                  <c:v>5927582.6576300003</c:v>
                </c:pt>
                <c:pt idx="8">
                  <c:v>5302544.9836959997</c:v>
                </c:pt>
                <c:pt idx="9">
                  <c:v>4665866.4670670005</c:v>
                </c:pt>
                <c:pt idx="10">
                  <c:v>4060327.2529079998</c:v>
                </c:pt>
                <c:pt idx="11">
                  <c:v>3548580.6668230002</c:v>
                </c:pt>
                <c:pt idx="12">
                  <c:v>3168196.8347450001</c:v>
                </c:pt>
                <c:pt idx="13">
                  <c:v>2859048.5848059999</c:v>
                </c:pt>
                <c:pt idx="14">
                  <c:v>2581002.309169</c:v>
                </c:pt>
                <c:pt idx="15">
                  <c:v>2249797.2519069999</c:v>
                </c:pt>
                <c:pt idx="16">
                  <c:v>1995280.452884</c:v>
                </c:pt>
                <c:pt idx="17">
                  <c:v>1734529.870478</c:v>
                </c:pt>
                <c:pt idx="18">
                  <c:v>1469060.4260229999</c:v>
                </c:pt>
                <c:pt idx="19">
                  <c:v>1217599.6706379999</c:v>
                </c:pt>
                <c:pt idx="20">
                  <c:v>1005409.050617</c:v>
                </c:pt>
                <c:pt idx="21">
                  <c:v>818736.00122600002</c:v>
                </c:pt>
                <c:pt idx="22">
                  <c:v>655618.38158499997</c:v>
                </c:pt>
                <c:pt idx="23">
                  <c:v>509431.76028799999</c:v>
                </c:pt>
                <c:pt idx="24">
                  <c:v>385057.88088200003</c:v>
                </c:pt>
                <c:pt idx="25">
                  <c:v>283336.15640500002</c:v>
                </c:pt>
                <c:pt idx="26">
                  <c:v>202372.933357</c:v>
                </c:pt>
                <c:pt idx="27">
                  <c:v>143450.964125</c:v>
                </c:pt>
                <c:pt idx="28">
                  <c:v>101855.201822</c:v>
                </c:pt>
                <c:pt idx="29">
                  <c:v>74826.818643000006</c:v>
                </c:pt>
                <c:pt idx="30">
                  <c:v>59103.604269000003</c:v>
                </c:pt>
                <c:pt idx="31">
                  <c:v>50887.952905999999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D27-9B7E-F409679C7C80}"/>
            </c:ext>
          </c:extLst>
        </c:ser>
        <c:ser>
          <c:idx val="2"/>
          <c:order val="2"/>
          <c:tx>
            <c:strRef>
              <c:f>'Transportation Emissions'!$B$48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Emissions'!$C$48:$AH$48</c:f>
              <c:numCache>
                <c:formatCode>General</c:formatCode>
                <c:ptCount val="32"/>
                <c:pt idx="0">
                  <c:v>8031389.0061720004</c:v>
                </c:pt>
                <c:pt idx="1">
                  <c:v>8503585.4540870003</c:v>
                </c:pt>
                <c:pt idx="2">
                  <c:v>8456775.3020169996</c:v>
                </c:pt>
                <c:pt idx="3">
                  <c:v>8174034.5877139997</c:v>
                </c:pt>
                <c:pt idx="4">
                  <c:v>7988571.55975</c:v>
                </c:pt>
                <c:pt idx="5">
                  <c:v>7593188.7738619996</c:v>
                </c:pt>
                <c:pt idx="6">
                  <c:v>6943016.3419369999</c:v>
                </c:pt>
                <c:pt idx="7">
                  <c:v>6465595.6138699995</c:v>
                </c:pt>
                <c:pt idx="8">
                  <c:v>5942970.0793359997</c:v>
                </c:pt>
                <c:pt idx="9">
                  <c:v>5352900.7075920003</c:v>
                </c:pt>
                <c:pt idx="10">
                  <c:v>4762083.359809</c:v>
                </c:pt>
                <c:pt idx="11">
                  <c:v>4258550.6814059997</c:v>
                </c:pt>
                <c:pt idx="12">
                  <c:v>3810534.0279560001</c:v>
                </c:pt>
                <c:pt idx="13">
                  <c:v>3431122.4121849998</c:v>
                </c:pt>
                <c:pt idx="14">
                  <c:v>3091079.3657269999</c:v>
                </c:pt>
                <c:pt idx="15">
                  <c:v>2688170.239451</c:v>
                </c:pt>
                <c:pt idx="16">
                  <c:v>2372190.47321</c:v>
                </c:pt>
                <c:pt idx="17">
                  <c:v>2054454.9389480001</c:v>
                </c:pt>
                <c:pt idx="18">
                  <c:v>1740529.639801</c:v>
                </c:pt>
                <c:pt idx="19">
                  <c:v>1445925.016179</c:v>
                </c:pt>
                <c:pt idx="20">
                  <c:v>1198149.684447</c:v>
                </c:pt>
                <c:pt idx="21">
                  <c:v>979972.642995</c:v>
                </c:pt>
                <c:pt idx="22">
                  <c:v>789576.36075300002</c:v>
                </c:pt>
                <c:pt idx="23">
                  <c:v>617425.291126</c:v>
                </c:pt>
                <c:pt idx="24">
                  <c:v>469381.51160299999</c:v>
                </c:pt>
                <c:pt idx="25">
                  <c:v>347208.11408000003</c:v>
                </c:pt>
                <c:pt idx="26">
                  <c:v>249162.29879</c:v>
                </c:pt>
                <c:pt idx="27">
                  <c:v>176923.277738</c:v>
                </c:pt>
                <c:pt idx="28">
                  <c:v>125222.072419</c:v>
                </c:pt>
                <c:pt idx="29">
                  <c:v>91067.940701</c:v>
                </c:pt>
                <c:pt idx="30">
                  <c:v>70850.170882000006</c:v>
                </c:pt>
                <c:pt idx="31">
                  <c:v>60121.440957999999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D27-9B7E-F409679C7C80}"/>
            </c:ext>
          </c:extLst>
        </c:ser>
        <c:ser>
          <c:idx val="3"/>
          <c:order val="3"/>
          <c:tx>
            <c:strRef>
              <c:f>'Transportation Emissions'!$B$45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Emissions'!$C$45:$AH$45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7785012.07424</c:v>
                </c:pt>
                <c:pt idx="3">
                  <c:v>7697540.2657160005</c:v>
                </c:pt>
                <c:pt idx="4">
                  <c:v>7610068.4571930002</c:v>
                </c:pt>
                <c:pt idx="5">
                  <c:v>7522596.1794330003</c:v>
                </c:pt>
                <c:pt idx="6">
                  <c:v>7435123.9016730003</c:v>
                </c:pt>
                <c:pt idx="7">
                  <c:v>7347652.0931489998</c:v>
                </c:pt>
                <c:pt idx="8">
                  <c:v>7260180.2846259996</c:v>
                </c:pt>
                <c:pt idx="9">
                  <c:v>7172708.0068650004</c:v>
                </c:pt>
                <c:pt idx="10">
                  <c:v>7085235.7291050004</c:v>
                </c:pt>
                <c:pt idx="11">
                  <c:v>6997763.9205820002</c:v>
                </c:pt>
                <c:pt idx="12">
                  <c:v>6910292.1120579997</c:v>
                </c:pt>
                <c:pt idx="13">
                  <c:v>6822819.8342979997</c:v>
                </c:pt>
                <c:pt idx="14">
                  <c:v>6735347.5565379998</c:v>
                </c:pt>
                <c:pt idx="15">
                  <c:v>6647875.7480149996</c:v>
                </c:pt>
                <c:pt idx="16">
                  <c:v>6560403.939491</c:v>
                </c:pt>
                <c:pt idx="17">
                  <c:v>6472931.6617310001</c:v>
                </c:pt>
                <c:pt idx="18">
                  <c:v>6385459.3839710001</c:v>
                </c:pt>
                <c:pt idx="19">
                  <c:v>6297987.5754469996</c:v>
                </c:pt>
                <c:pt idx="20">
                  <c:v>6297987.5754469996</c:v>
                </c:pt>
                <c:pt idx="21">
                  <c:v>6297987.5754469996</c:v>
                </c:pt>
                <c:pt idx="22">
                  <c:v>6297987.5754469996</c:v>
                </c:pt>
                <c:pt idx="23">
                  <c:v>6297987.5754469996</c:v>
                </c:pt>
                <c:pt idx="24">
                  <c:v>6297987.5754469996</c:v>
                </c:pt>
                <c:pt idx="25">
                  <c:v>6297987.5754469996</c:v>
                </c:pt>
                <c:pt idx="26">
                  <c:v>6297987.5754469996</c:v>
                </c:pt>
                <c:pt idx="27">
                  <c:v>6297987.5754469996</c:v>
                </c:pt>
                <c:pt idx="28">
                  <c:v>6297987.5754469996</c:v>
                </c:pt>
                <c:pt idx="29">
                  <c:v>6297987.5754469996</c:v>
                </c:pt>
                <c:pt idx="30">
                  <c:v>6297987.5754469996</c:v>
                </c:pt>
                <c:pt idx="3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D27-9B7E-F409679C7C80}"/>
            </c:ext>
          </c:extLst>
        </c:ser>
        <c:ser>
          <c:idx val="4"/>
          <c:order val="4"/>
          <c:tx>
            <c:strRef>
              <c:f>'Transportation Emissions'!$B$49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Emissions'!$C$49:$AH$49</c:f>
              <c:numCache>
                <c:formatCode>General</c:formatCode>
                <c:ptCount val="32"/>
                <c:pt idx="0">
                  <c:v>5718148.28773</c:v>
                </c:pt>
                <c:pt idx="1">
                  <c:v>5718148.28773</c:v>
                </c:pt>
                <c:pt idx="2">
                  <c:v>5654613.1401279997</c:v>
                </c:pt>
                <c:pt idx="3">
                  <c:v>5591078.333354</c:v>
                </c:pt>
                <c:pt idx="4">
                  <c:v>5504562.6258640001</c:v>
                </c:pt>
                <c:pt idx="5">
                  <c:v>5309018.0273469994</c:v>
                </c:pt>
                <c:pt idx="6">
                  <c:v>5074955.3881529998</c:v>
                </c:pt>
                <c:pt idx="7">
                  <c:v>4864809.2816330008</c:v>
                </c:pt>
                <c:pt idx="8">
                  <c:v>4656946.0933370003</c:v>
                </c:pt>
                <c:pt idx="9">
                  <c:v>4451446.7187009994</c:v>
                </c:pt>
                <c:pt idx="10">
                  <c:v>4248487.4092880003</c:v>
                </c:pt>
                <c:pt idx="11">
                  <c:v>4049083.7265059999</c:v>
                </c:pt>
                <c:pt idx="12">
                  <c:v>3855286.364608</c:v>
                </c:pt>
                <c:pt idx="13">
                  <c:v>3664812.2053439999</c:v>
                </c:pt>
                <c:pt idx="14">
                  <c:v>3477679.919673</c:v>
                </c:pt>
                <c:pt idx="15">
                  <c:v>3293912.9435370001</c:v>
                </c:pt>
                <c:pt idx="16">
                  <c:v>3113691.2361559998</c:v>
                </c:pt>
                <c:pt idx="17">
                  <c:v>2937400.9339970001</c:v>
                </c:pt>
                <c:pt idx="18">
                  <c:v>2764533.451562</c:v>
                </c:pt>
                <c:pt idx="19">
                  <c:v>2595099.753488</c:v>
                </c:pt>
                <c:pt idx="20">
                  <c:v>2462767.9828499998</c:v>
                </c:pt>
                <c:pt idx="21">
                  <c:v>2330378.5412320001</c:v>
                </c:pt>
                <c:pt idx="22">
                  <c:v>2328916.507795</c:v>
                </c:pt>
                <c:pt idx="23">
                  <c:v>2327233.1929029999</c:v>
                </c:pt>
                <c:pt idx="24">
                  <c:v>2325328.1662019999</c:v>
                </c:pt>
                <c:pt idx="25">
                  <c:v>2323238.5823329999</c:v>
                </c:pt>
                <c:pt idx="26">
                  <c:v>2320846.7919350001</c:v>
                </c:pt>
                <c:pt idx="27">
                  <c:v>2320552.3057749998</c:v>
                </c:pt>
                <c:pt idx="28">
                  <c:v>2320284.934012</c:v>
                </c:pt>
                <c:pt idx="29">
                  <c:v>2320039.5482720002</c:v>
                </c:pt>
                <c:pt idx="30">
                  <c:v>2319842.0275030001</c:v>
                </c:pt>
                <c:pt idx="31">
                  <c:v>2319588.1010150001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E-4D27-9B7E-F409679C7C80}"/>
            </c:ext>
          </c:extLst>
        </c:ser>
        <c:ser>
          <c:idx val="5"/>
          <c:order val="5"/>
          <c:tx>
            <c:strRef>
              <c:f>'Transportation Emissions'!$B$51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Emissions'!$C$51:$AH$51</c:f>
              <c:numCache>
                <c:formatCode>General</c:formatCode>
                <c:ptCount val="32"/>
                <c:pt idx="0">
                  <c:v>284513.37434799998</c:v>
                </c:pt>
                <c:pt idx="1">
                  <c:v>284516.54779300001</c:v>
                </c:pt>
                <c:pt idx="2">
                  <c:v>281417.18625600002</c:v>
                </c:pt>
                <c:pt idx="3">
                  <c:v>278306.22732200002</c:v>
                </c:pt>
                <c:pt idx="4">
                  <c:v>275179.48475800001</c:v>
                </c:pt>
                <c:pt idx="5">
                  <c:v>272046.68245199998</c:v>
                </c:pt>
                <c:pt idx="6">
                  <c:v>267778.34912999999</c:v>
                </c:pt>
                <c:pt idx="7">
                  <c:v>264614.18868800002</c:v>
                </c:pt>
                <c:pt idx="8">
                  <c:v>261457.90921300001</c:v>
                </c:pt>
                <c:pt idx="9">
                  <c:v>258302.27774600001</c:v>
                </c:pt>
                <c:pt idx="10">
                  <c:v>255146.99338100001</c:v>
                </c:pt>
                <c:pt idx="11">
                  <c:v>252000.47627099999</c:v>
                </c:pt>
                <c:pt idx="12">
                  <c:v>248873.43634099999</c:v>
                </c:pt>
                <c:pt idx="13">
                  <c:v>245745.80695699999</c:v>
                </c:pt>
                <c:pt idx="14">
                  <c:v>242616.01660199999</c:v>
                </c:pt>
                <c:pt idx="15">
                  <c:v>239483.921474</c:v>
                </c:pt>
                <c:pt idx="16">
                  <c:v>236359.98918199999</c:v>
                </c:pt>
                <c:pt idx="17">
                  <c:v>233214.02926899999</c:v>
                </c:pt>
                <c:pt idx="18">
                  <c:v>230065.75489400001</c:v>
                </c:pt>
                <c:pt idx="19">
                  <c:v>226916.70508099999</c:v>
                </c:pt>
                <c:pt idx="20">
                  <c:v>226895.68453699999</c:v>
                </c:pt>
                <c:pt idx="21">
                  <c:v>226877.007017</c:v>
                </c:pt>
                <c:pt idx="22">
                  <c:v>226861.88840200001</c:v>
                </c:pt>
                <c:pt idx="23">
                  <c:v>226848.705441</c:v>
                </c:pt>
                <c:pt idx="24">
                  <c:v>226839.124901</c:v>
                </c:pt>
                <c:pt idx="25">
                  <c:v>226834.562015</c:v>
                </c:pt>
                <c:pt idx="26">
                  <c:v>226835.68038800001</c:v>
                </c:pt>
                <c:pt idx="27">
                  <c:v>226851.64953600001</c:v>
                </c:pt>
                <c:pt idx="28">
                  <c:v>226874.51559900001</c:v>
                </c:pt>
                <c:pt idx="29">
                  <c:v>226901.11474700001</c:v>
                </c:pt>
                <c:pt idx="30">
                  <c:v>226923.63273499999</c:v>
                </c:pt>
                <c:pt idx="31">
                  <c:v>226911.02635500001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3E-4D27-9B7E-F409679C7C80}"/>
            </c:ext>
          </c:extLst>
        </c:ser>
        <c:ser>
          <c:idx val="6"/>
          <c:order val="6"/>
          <c:tx>
            <c:strRef>
              <c:f>'Transportation Emissions'!$B$50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Emissions'!$C$50:$AH$50</c:f>
              <c:numCache>
                <c:formatCode>General</c:formatCode>
                <c:ptCount val="32"/>
                <c:pt idx="0">
                  <c:v>18225.297460000002</c:v>
                </c:pt>
                <c:pt idx="1">
                  <c:v>18206.008049</c:v>
                </c:pt>
                <c:pt idx="2">
                  <c:v>18059.053337000001</c:v>
                </c:pt>
                <c:pt idx="3">
                  <c:v>17900.568801000001</c:v>
                </c:pt>
                <c:pt idx="4">
                  <c:v>17708.072929000002</c:v>
                </c:pt>
                <c:pt idx="5">
                  <c:v>17506.179196000001</c:v>
                </c:pt>
                <c:pt idx="6">
                  <c:v>15270.6657</c:v>
                </c:pt>
                <c:pt idx="7">
                  <c:v>15013.581190999999</c:v>
                </c:pt>
                <c:pt idx="8">
                  <c:v>14761.982437000001</c:v>
                </c:pt>
                <c:pt idx="9">
                  <c:v>14514.351978999999</c:v>
                </c:pt>
                <c:pt idx="10">
                  <c:v>14271.788479000001</c:v>
                </c:pt>
                <c:pt idx="11">
                  <c:v>14047.189236</c:v>
                </c:pt>
                <c:pt idx="12">
                  <c:v>13860.58899</c:v>
                </c:pt>
                <c:pt idx="13">
                  <c:v>13673.150777999999</c:v>
                </c:pt>
                <c:pt idx="14">
                  <c:v>13485.313733999999</c:v>
                </c:pt>
                <c:pt idx="15">
                  <c:v>13297.406231999999</c:v>
                </c:pt>
                <c:pt idx="16">
                  <c:v>13111.015813</c:v>
                </c:pt>
                <c:pt idx="17">
                  <c:v>12928.909181999999</c:v>
                </c:pt>
                <c:pt idx="18">
                  <c:v>12746.368786999999</c:v>
                </c:pt>
                <c:pt idx="19">
                  <c:v>12563.556748999999</c:v>
                </c:pt>
                <c:pt idx="20">
                  <c:v>12551.326847</c:v>
                </c:pt>
                <c:pt idx="21">
                  <c:v>12540.165032000001</c:v>
                </c:pt>
                <c:pt idx="22">
                  <c:v>12531.131538</c:v>
                </c:pt>
                <c:pt idx="23">
                  <c:v>12520.730801</c:v>
                </c:pt>
                <c:pt idx="24">
                  <c:v>12508.960193000001</c:v>
                </c:pt>
                <c:pt idx="25">
                  <c:v>12496.049255</c:v>
                </c:pt>
                <c:pt idx="26">
                  <c:v>12481.271054000001</c:v>
                </c:pt>
                <c:pt idx="27">
                  <c:v>12479.451509</c:v>
                </c:pt>
                <c:pt idx="28">
                  <c:v>12477.799496</c:v>
                </c:pt>
                <c:pt idx="29">
                  <c:v>12476.283334</c:v>
                </c:pt>
                <c:pt idx="30">
                  <c:v>12475.062921000001</c:v>
                </c:pt>
                <c:pt idx="31">
                  <c:v>12473.493973000001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3E-4D27-9B7E-F409679C7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70001"/>
        <c:axId val="51070002"/>
      </c:areaChart>
      <c:catAx>
        <c:axId val="510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70002"/>
        <c:crosses val="autoZero"/>
        <c:auto val="1"/>
        <c:lblAlgn val="ctr"/>
        <c:lblOffset val="100"/>
        <c:tickLblSkip val="2"/>
        <c:noMultiLvlLbl val="0"/>
      </c:catAx>
      <c:valAx>
        <c:axId val="510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7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Emissions'!$B$47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Emissions'!$C$47,'Transportation Emissions'!$AH$47)</c:f>
              <c:numCache>
                <c:formatCode>General</c:formatCode>
                <c:ptCount val="2"/>
                <c:pt idx="0">
                  <c:v>18055216.234627001</c:v>
                </c:pt>
                <c:pt idx="1">
                  <c:v>140600.57557099999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C-4653-A2A4-3329556A2576}"/>
            </c:ext>
          </c:extLst>
        </c:ser>
        <c:ser>
          <c:idx val="1"/>
          <c:order val="1"/>
          <c:tx>
            <c:strRef>
              <c:f>'Transportation Emissions'!$B$46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Emissions'!$C$46,'Transportation Emissions'!$AH$46)</c:f>
              <c:numCache>
                <c:formatCode>General</c:formatCode>
                <c:ptCount val="2"/>
                <c:pt idx="0">
                  <c:v>8422611.7638140004</c:v>
                </c:pt>
                <c:pt idx="1">
                  <c:v>50887.952905999999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C-4653-A2A4-3329556A2576}"/>
            </c:ext>
          </c:extLst>
        </c:ser>
        <c:ser>
          <c:idx val="2"/>
          <c:order val="2"/>
          <c:tx>
            <c:strRef>
              <c:f>'Transportation Emissions'!$B$48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Emissions'!$C$48,'Transportation Emissions'!$AH$48)</c:f>
              <c:numCache>
                <c:formatCode>General</c:formatCode>
                <c:ptCount val="2"/>
                <c:pt idx="0">
                  <c:v>8031389.0061720004</c:v>
                </c:pt>
                <c:pt idx="1">
                  <c:v>60121.440957999999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AC-4653-A2A4-3329556A2576}"/>
            </c:ext>
          </c:extLst>
        </c:ser>
        <c:ser>
          <c:idx val="3"/>
          <c:order val="3"/>
          <c:tx>
            <c:strRef>
              <c:f>'Transportation Emissions'!$B$45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Emissions'!$C$45,'Transportation Emissions'!$AH$45)</c:f>
              <c:numCache>
                <c:formatCode>General</c:formatCode>
                <c:ptCount val="2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AC-4653-A2A4-3329556A2576}"/>
            </c:ext>
          </c:extLst>
        </c:ser>
        <c:ser>
          <c:idx val="4"/>
          <c:order val="4"/>
          <c:tx>
            <c:strRef>
              <c:f>'Transportation Emissions'!$B$49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Emissions'!$C$49,'Transportation Emissions'!$AH$49)</c:f>
              <c:numCache>
                <c:formatCode>General</c:formatCode>
                <c:ptCount val="2"/>
                <c:pt idx="0">
                  <c:v>5718148.28773</c:v>
                </c:pt>
                <c:pt idx="1">
                  <c:v>2319588.1010150001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AC-4653-A2A4-3329556A2576}"/>
            </c:ext>
          </c:extLst>
        </c:ser>
        <c:ser>
          <c:idx val="5"/>
          <c:order val="5"/>
          <c:tx>
            <c:strRef>
              <c:f>'Transportation Emissions'!$B$51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Emissions'!$C$51,'Transportation Emissions'!$AH$51)</c:f>
              <c:numCache>
                <c:formatCode>General</c:formatCode>
                <c:ptCount val="2"/>
                <c:pt idx="0">
                  <c:v>284513.37434799998</c:v>
                </c:pt>
                <c:pt idx="1">
                  <c:v>226911.02635500001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AC-4653-A2A4-3329556A2576}"/>
            </c:ext>
          </c:extLst>
        </c:ser>
        <c:ser>
          <c:idx val="6"/>
          <c:order val="6"/>
          <c:tx>
            <c:strRef>
              <c:f>'Transportation Emissions'!$B$50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Emissions'!$C$50,'Transportation Emissions'!$AH$50)</c:f>
              <c:numCache>
                <c:formatCode>General</c:formatCode>
                <c:ptCount val="2"/>
                <c:pt idx="0">
                  <c:v>18225.297460000002</c:v>
                </c:pt>
                <c:pt idx="1">
                  <c:v>12473.493973000001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C-4653-A2A4-3329556A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080001"/>
        <c:axId val="51080002"/>
      </c:barChart>
      <c:catAx>
        <c:axId val="510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80002"/>
        <c:crosses val="autoZero"/>
        <c:auto val="1"/>
        <c:lblAlgn val="ctr"/>
        <c:lblOffset val="100"/>
        <c:noMultiLvlLbl val="0"/>
      </c:catAx>
      <c:valAx>
        <c:axId val="510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8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Emissions'!$B$55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Emissions'!$C$55:$AH$55</c:f>
              <c:numCache>
                <c:formatCode>General</c:formatCode>
                <c:ptCount val="32"/>
                <c:pt idx="0">
                  <c:v>18055216.234627001</c:v>
                </c:pt>
                <c:pt idx="1">
                  <c:v>16509207.333001999</c:v>
                </c:pt>
                <c:pt idx="2">
                  <c:v>15311519.534971001</c:v>
                </c:pt>
                <c:pt idx="3">
                  <c:v>14160005.864518</c:v>
                </c:pt>
                <c:pt idx="4">
                  <c:v>13051857.340233</c:v>
                </c:pt>
                <c:pt idx="5">
                  <c:v>11987455.253768999</c:v>
                </c:pt>
                <c:pt idx="6">
                  <c:v>10878954.077966001</c:v>
                </c:pt>
                <c:pt idx="7">
                  <c:v>9846751.0988979992</c:v>
                </c:pt>
                <c:pt idx="8">
                  <c:v>8862598.5332859997</c:v>
                </c:pt>
                <c:pt idx="9">
                  <c:v>7937762.305776</c:v>
                </c:pt>
                <c:pt idx="10">
                  <c:v>7065873.3752840003</c:v>
                </c:pt>
                <c:pt idx="11">
                  <c:v>6243867.8945129998</c:v>
                </c:pt>
                <c:pt idx="12">
                  <c:v>5467965.5235620001</c:v>
                </c:pt>
                <c:pt idx="13">
                  <c:v>4730561.2738539996</c:v>
                </c:pt>
                <c:pt idx="14">
                  <c:v>4025495.5075460002</c:v>
                </c:pt>
                <c:pt idx="15">
                  <c:v>3348042.090475</c:v>
                </c:pt>
                <c:pt idx="16">
                  <c:v>2694560.1650780002</c:v>
                </c:pt>
                <c:pt idx="17">
                  <c:v>2500276.5294750002</c:v>
                </c:pt>
                <c:pt idx="18">
                  <c:v>2312224.0021520001</c:v>
                </c:pt>
                <c:pt idx="19">
                  <c:v>2129743.3489089999</c:v>
                </c:pt>
                <c:pt idx="20">
                  <c:v>1969865.351826</c:v>
                </c:pt>
                <c:pt idx="21">
                  <c:v>1811304.454162</c:v>
                </c:pt>
                <c:pt idx="22">
                  <c:v>1652919.7296430001</c:v>
                </c:pt>
                <c:pt idx="23">
                  <c:v>1495141.051374</c:v>
                </c:pt>
                <c:pt idx="24">
                  <c:v>1337736.3433389999</c:v>
                </c:pt>
                <c:pt idx="25">
                  <c:v>1180530.7548710001</c:v>
                </c:pt>
                <c:pt idx="26">
                  <c:v>1023304.090767</c:v>
                </c:pt>
                <c:pt idx="27">
                  <c:v>869919.99909699999</c:v>
                </c:pt>
                <c:pt idx="28">
                  <c:v>716488.65177999996</c:v>
                </c:pt>
                <c:pt idx="29">
                  <c:v>562973.82812299998</c:v>
                </c:pt>
                <c:pt idx="30">
                  <c:v>409388.362264</c:v>
                </c:pt>
                <c:pt idx="31">
                  <c:v>255753.71680600001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4-45C7-94D1-1293A2FD49F1}"/>
            </c:ext>
          </c:extLst>
        </c:ser>
        <c:ser>
          <c:idx val="1"/>
          <c:order val="1"/>
          <c:tx>
            <c:strRef>
              <c:f>'Transportation Emissions'!$B$54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Emissions'!$C$54:$AH$54</c:f>
              <c:numCache>
                <c:formatCode>General</c:formatCode>
                <c:ptCount val="32"/>
                <c:pt idx="0">
                  <c:v>8422611.7638140004</c:v>
                </c:pt>
                <c:pt idx="1">
                  <c:v>8778290.734615</c:v>
                </c:pt>
                <c:pt idx="2">
                  <c:v>8465207.7324199993</c:v>
                </c:pt>
                <c:pt idx="3">
                  <c:v>8163446.9230359998</c:v>
                </c:pt>
                <c:pt idx="4">
                  <c:v>7834927.9960850002</c:v>
                </c:pt>
                <c:pt idx="5">
                  <c:v>7411674.8015729999</c:v>
                </c:pt>
                <c:pt idx="6">
                  <c:v>6477713.1143960003</c:v>
                </c:pt>
                <c:pt idx="7">
                  <c:v>5929984.8370700004</c:v>
                </c:pt>
                <c:pt idx="8">
                  <c:v>5306330.3649810003</c:v>
                </c:pt>
                <c:pt idx="9">
                  <c:v>4671146.2448340002</c:v>
                </c:pt>
                <c:pt idx="10">
                  <c:v>4066371.8673760002</c:v>
                </c:pt>
                <c:pt idx="11">
                  <c:v>3554156.727736</c:v>
                </c:pt>
                <c:pt idx="12">
                  <c:v>3175086.52244</c:v>
                </c:pt>
                <c:pt idx="13">
                  <c:v>2867057.5293259998</c:v>
                </c:pt>
                <c:pt idx="14">
                  <c:v>2589942.5279379999</c:v>
                </c:pt>
                <c:pt idx="15">
                  <c:v>2259635.9255849998</c:v>
                </c:pt>
                <c:pt idx="16">
                  <c:v>2005573.2661210001</c:v>
                </c:pt>
                <c:pt idx="17">
                  <c:v>1744035.932643</c:v>
                </c:pt>
                <c:pt idx="18">
                  <c:v>1477625.8397679999</c:v>
                </c:pt>
                <c:pt idx="19">
                  <c:v>1225032.296912</c:v>
                </c:pt>
                <c:pt idx="20">
                  <c:v>1011512.0412860001</c:v>
                </c:pt>
                <c:pt idx="21">
                  <c:v>823272.98505300004</c:v>
                </c:pt>
                <c:pt idx="22">
                  <c:v>658356.227679</c:v>
                </c:pt>
                <c:pt idx="23">
                  <c:v>510277.12986500002</c:v>
                </c:pt>
                <c:pt idx="24">
                  <c:v>383978.69927899999</c:v>
                </c:pt>
                <c:pt idx="25">
                  <c:v>280336.74388199998</c:v>
                </c:pt>
                <c:pt idx="26">
                  <c:v>197549.277229</c:v>
                </c:pt>
                <c:pt idx="27">
                  <c:v>138756.46276699999</c:v>
                </c:pt>
                <c:pt idx="28">
                  <c:v>97299.568169000006</c:v>
                </c:pt>
                <c:pt idx="29">
                  <c:v>70414.626940999995</c:v>
                </c:pt>
                <c:pt idx="30">
                  <c:v>54815.760438999998</c:v>
                </c:pt>
                <c:pt idx="31">
                  <c:v>46768.156996999998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4-45C7-94D1-1293A2FD49F1}"/>
            </c:ext>
          </c:extLst>
        </c:ser>
        <c:ser>
          <c:idx val="2"/>
          <c:order val="2"/>
          <c:tx>
            <c:strRef>
              <c:f>'Transportation Emissions'!$B$56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Emissions'!$C$56:$AH$56</c:f>
              <c:numCache>
                <c:formatCode>General</c:formatCode>
                <c:ptCount val="32"/>
                <c:pt idx="0">
                  <c:v>8031389.0061720004</c:v>
                </c:pt>
                <c:pt idx="1">
                  <c:v>8503564.3104120009</c:v>
                </c:pt>
                <c:pt idx="2">
                  <c:v>8456638.4810809996</c:v>
                </c:pt>
                <c:pt idx="3">
                  <c:v>8174012.2590129999</c:v>
                </c:pt>
                <c:pt idx="4">
                  <c:v>7988768.0286060004</c:v>
                </c:pt>
                <c:pt idx="5">
                  <c:v>7593636.3532250002</c:v>
                </c:pt>
                <c:pt idx="6">
                  <c:v>6944920.6422609994</c:v>
                </c:pt>
                <c:pt idx="7">
                  <c:v>6468519.3822389999</c:v>
                </c:pt>
                <c:pt idx="8">
                  <c:v>5947334.9921650002</c:v>
                </c:pt>
                <c:pt idx="9">
                  <c:v>5358824.728294</c:v>
                </c:pt>
                <c:pt idx="10">
                  <c:v>4768812.3027379997</c:v>
                </c:pt>
                <c:pt idx="11">
                  <c:v>4264784.8040239997</c:v>
                </c:pt>
                <c:pt idx="12">
                  <c:v>3818270.9210959999</c:v>
                </c:pt>
                <c:pt idx="13">
                  <c:v>3440152.137695</c:v>
                </c:pt>
                <c:pt idx="14">
                  <c:v>3101192.7441309998</c:v>
                </c:pt>
                <c:pt idx="15">
                  <c:v>2699312.469325</c:v>
                </c:pt>
                <c:pt idx="16">
                  <c:v>2383851.4013490002</c:v>
                </c:pt>
                <c:pt idx="17">
                  <c:v>2065223.8656560001</c:v>
                </c:pt>
                <c:pt idx="18">
                  <c:v>1750243.742941</c:v>
                </c:pt>
                <c:pt idx="19">
                  <c:v>1454369.7634620001</c:v>
                </c:pt>
                <c:pt idx="20">
                  <c:v>1205100.724923</c:v>
                </c:pt>
                <c:pt idx="21">
                  <c:v>985149.73293299996</c:v>
                </c:pt>
                <c:pt idx="22">
                  <c:v>792709.69004799996</c:v>
                </c:pt>
                <c:pt idx="23">
                  <c:v>618395.83863799996</c:v>
                </c:pt>
                <c:pt idx="24">
                  <c:v>468138.51909900003</c:v>
                </c:pt>
                <c:pt idx="25">
                  <c:v>343743.50442999997</c:v>
                </c:pt>
                <c:pt idx="26">
                  <c:v>243577.83379599999</c:v>
                </c:pt>
                <c:pt idx="27">
                  <c:v>171477.31620100001</c:v>
                </c:pt>
                <c:pt idx="28">
                  <c:v>119929.06167900001</c:v>
                </c:pt>
                <c:pt idx="29">
                  <c:v>85937.099193000002</c:v>
                </c:pt>
                <c:pt idx="30">
                  <c:v>65863.104800999994</c:v>
                </c:pt>
                <c:pt idx="31">
                  <c:v>55331.251434999998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4-45C7-94D1-1293A2FD49F1}"/>
            </c:ext>
          </c:extLst>
        </c:ser>
        <c:ser>
          <c:idx val="3"/>
          <c:order val="3"/>
          <c:tx>
            <c:strRef>
              <c:f>'Transportation Emissions'!$B$53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Emissions'!$C$53:$AH$53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7785012.07424</c:v>
                </c:pt>
                <c:pt idx="3">
                  <c:v>7697540.2657160005</c:v>
                </c:pt>
                <c:pt idx="4">
                  <c:v>7610068.4571930002</c:v>
                </c:pt>
                <c:pt idx="5">
                  <c:v>7522596.1794330003</c:v>
                </c:pt>
                <c:pt idx="6">
                  <c:v>7435123.9016730003</c:v>
                </c:pt>
                <c:pt idx="7">
                  <c:v>7347652.0931489998</c:v>
                </c:pt>
                <c:pt idx="8">
                  <c:v>7260180.2846259996</c:v>
                </c:pt>
                <c:pt idx="9">
                  <c:v>7172708.0068650004</c:v>
                </c:pt>
                <c:pt idx="10">
                  <c:v>7085235.7291050004</c:v>
                </c:pt>
                <c:pt idx="11">
                  <c:v>6997763.9205820002</c:v>
                </c:pt>
                <c:pt idx="12">
                  <c:v>6910292.1120579997</c:v>
                </c:pt>
                <c:pt idx="13">
                  <c:v>6822819.8342979997</c:v>
                </c:pt>
                <c:pt idx="14">
                  <c:v>6735347.5565379998</c:v>
                </c:pt>
                <c:pt idx="15">
                  <c:v>6647875.7480149996</c:v>
                </c:pt>
                <c:pt idx="16">
                  <c:v>6560403.939491</c:v>
                </c:pt>
                <c:pt idx="17">
                  <c:v>6472931.6617310001</c:v>
                </c:pt>
                <c:pt idx="18">
                  <c:v>6385459.3839710001</c:v>
                </c:pt>
                <c:pt idx="19">
                  <c:v>6297987.5754469996</c:v>
                </c:pt>
                <c:pt idx="20">
                  <c:v>6297987.5754469996</c:v>
                </c:pt>
                <c:pt idx="21">
                  <c:v>6297987.5754469996</c:v>
                </c:pt>
                <c:pt idx="22">
                  <c:v>6297987.5754469996</c:v>
                </c:pt>
                <c:pt idx="23">
                  <c:v>6297987.5754469996</c:v>
                </c:pt>
                <c:pt idx="24">
                  <c:v>6297987.5754469996</c:v>
                </c:pt>
                <c:pt idx="25">
                  <c:v>6297987.5754469996</c:v>
                </c:pt>
                <c:pt idx="26">
                  <c:v>6297987.5754469996</c:v>
                </c:pt>
                <c:pt idx="27">
                  <c:v>6297987.5754469996</c:v>
                </c:pt>
                <c:pt idx="28">
                  <c:v>6297987.5754469996</c:v>
                </c:pt>
                <c:pt idx="29">
                  <c:v>6297987.5754469996</c:v>
                </c:pt>
                <c:pt idx="30">
                  <c:v>6297987.5754469996</c:v>
                </c:pt>
                <c:pt idx="3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4-45C7-94D1-1293A2FD49F1}"/>
            </c:ext>
          </c:extLst>
        </c:ser>
        <c:ser>
          <c:idx val="4"/>
          <c:order val="4"/>
          <c:tx>
            <c:strRef>
              <c:f>'Transportation Emissions'!$B$57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Emissions'!$C$57:$AH$57</c:f>
              <c:numCache>
                <c:formatCode>General</c:formatCode>
                <c:ptCount val="32"/>
                <c:pt idx="0">
                  <c:v>5718148.28773</c:v>
                </c:pt>
                <c:pt idx="1">
                  <c:v>5718148.28773</c:v>
                </c:pt>
                <c:pt idx="2">
                  <c:v>5654613.1401279997</c:v>
                </c:pt>
                <c:pt idx="3">
                  <c:v>5591078.333354</c:v>
                </c:pt>
                <c:pt idx="4">
                  <c:v>5504600.7155709993</c:v>
                </c:pt>
                <c:pt idx="5">
                  <c:v>5309493.3183089998</c:v>
                </c:pt>
                <c:pt idx="6">
                  <c:v>5077531.0825979998</c:v>
                </c:pt>
                <c:pt idx="7">
                  <c:v>4869144.637596</c:v>
                </c:pt>
                <c:pt idx="8">
                  <c:v>4662834.5809670007</c:v>
                </c:pt>
                <c:pt idx="9">
                  <c:v>4458338.6845479999</c:v>
                </c:pt>
                <c:pt idx="10">
                  <c:v>4255353.2227170002</c:v>
                </c:pt>
                <c:pt idx="11">
                  <c:v>4054831.680193</c:v>
                </c:pt>
                <c:pt idx="12">
                  <c:v>3862074.5032839999</c:v>
                </c:pt>
                <c:pt idx="13">
                  <c:v>3672540.9980120002</c:v>
                </c:pt>
                <c:pt idx="14">
                  <c:v>3486214.9324130001</c:v>
                </c:pt>
                <c:pt idx="15">
                  <c:v>3303086.6475880002</c:v>
                </c:pt>
                <c:pt idx="16">
                  <c:v>3123232.1043540002</c:v>
                </c:pt>
                <c:pt idx="17">
                  <c:v>2946093.9948550002</c:v>
                </c:pt>
                <c:pt idx="18">
                  <c:v>2772261.4862239999</c:v>
                </c:pt>
                <c:pt idx="19">
                  <c:v>2601751.3495479999</c:v>
                </c:pt>
                <c:pt idx="20">
                  <c:v>2468224.5847410001</c:v>
                </c:pt>
                <c:pt idx="21">
                  <c:v>2334463.355126</c:v>
                </c:pt>
                <c:pt idx="22">
                  <c:v>2331240.7792520002</c:v>
                </c:pt>
                <c:pt idx="23">
                  <c:v>2327917.3023029999</c:v>
                </c:pt>
                <c:pt idx="24">
                  <c:v>2324486.647357</c:v>
                </c:pt>
                <c:pt idx="25">
                  <c:v>2320964.4811269999</c:v>
                </c:pt>
                <c:pt idx="26">
                  <c:v>2317265.7181580001</c:v>
                </c:pt>
                <c:pt idx="27">
                  <c:v>2317119.080261</c:v>
                </c:pt>
                <c:pt idx="28">
                  <c:v>2316988.8316529999</c:v>
                </c:pt>
                <c:pt idx="29">
                  <c:v>2316871.5317009999</c:v>
                </c:pt>
                <c:pt idx="30">
                  <c:v>2316780.2065639999</c:v>
                </c:pt>
                <c:pt idx="31">
                  <c:v>2316657.1597460001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A4-45C7-94D1-1293A2FD49F1}"/>
            </c:ext>
          </c:extLst>
        </c:ser>
        <c:ser>
          <c:idx val="5"/>
          <c:order val="5"/>
          <c:tx>
            <c:strRef>
              <c:f>'Transportation Emissions'!$B$59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Emissions'!$C$59:$AH$59</c:f>
              <c:numCache>
                <c:formatCode>General</c:formatCode>
                <c:ptCount val="32"/>
                <c:pt idx="0">
                  <c:v>284513.37434799998</c:v>
                </c:pt>
                <c:pt idx="1">
                  <c:v>284514.11931500002</c:v>
                </c:pt>
                <c:pt idx="2">
                  <c:v>281404.27164499997</c:v>
                </c:pt>
                <c:pt idx="3">
                  <c:v>278304.377615</c:v>
                </c:pt>
                <c:pt idx="4">
                  <c:v>275192.81577300001</c:v>
                </c:pt>
                <c:pt idx="5">
                  <c:v>272071.06105199998</c:v>
                </c:pt>
                <c:pt idx="6">
                  <c:v>267849.628295</c:v>
                </c:pt>
                <c:pt idx="7">
                  <c:v>264696.33763299999</c:v>
                </c:pt>
                <c:pt idx="8">
                  <c:v>261542.741251</c:v>
                </c:pt>
                <c:pt idx="9">
                  <c:v>258382.36786500001</c:v>
                </c:pt>
                <c:pt idx="10">
                  <c:v>255213.851964</c:v>
                </c:pt>
                <c:pt idx="11">
                  <c:v>252048.64456799999</c:v>
                </c:pt>
                <c:pt idx="12">
                  <c:v>248923.36027199999</c:v>
                </c:pt>
                <c:pt idx="13">
                  <c:v>245796.45150600001</c:v>
                </c:pt>
                <c:pt idx="14">
                  <c:v>242666.44560899999</c:v>
                </c:pt>
                <c:pt idx="15">
                  <c:v>239533.272394</c:v>
                </c:pt>
                <c:pt idx="16">
                  <c:v>236407.09857999999</c:v>
                </c:pt>
                <c:pt idx="17">
                  <c:v>233253.69378100001</c:v>
                </c:pt>
                <c:pt idx="18">
                  <c:v>230098.52798799999</c:v>
                </c:pt>
                <c:pt idx="19">
                  <c:v>226943.054065</c:v>
                </c:pt>
                <c:pt idx="20">
                  <c:v>226915.96313600001</c:v>
                </c:pt>
                <c:pt idx="21">
                  <c:v>226891.30343199999</c:v>
                </c:pt>
                <c:pt idx="22">
                  <c:v>226870.02317199999</c:v>
                </c:pt>
                <c:pt idx="23">
                  <c:v>226851.09970600001</c:v>
                </c:pt>
                <c:pt idx="24">
                  <c:v>226836.17964399999</c:v>
                </c:pt>
                <c:pt idx="25">
                  <c:v>226826.602889</c:v>
                </c:pt>
                <c:pt idx="26">
                  <c:v>226823.146932</c:v>
                </c:pt>
                <c:pt idx="27">
                  <c:v>226839.63351000001</c:v>
                </c:pt>
                <c:pt idx="28">
                  <c:v>226862.97951500001</c:v>
                </c:pt>
                <c:pt idx="29">
                  <c:v>226890.02697800001</c:v>
                </c:pt>
                <c:pt idx="30">
                  <c:v>226912.91662</c:v>
                </c:pt>
                <c:pt idx="31">
                  <c:v>226900.76830299999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A4-45C7-94D1-1293A2FD49F1}"/>
            </c:ext>
          </c:extLst>
        </c:ser>
        <c:ser>
          <c:idx val="6"/>
          <c:order val="6"/>
          <c:tx>
            <c:strRef>
              <c:f>'Transportation Emissions'!$B$58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Emissions'!$C$58:$AH$58</c:f>
              <c:numCache>
                <c:formatCode>General</c:formatCode>
                <c:ptCount val="32"/>
                <c:pt idx="0">
                  <c:v>18225.297460000002</c:v>
                </c:pt>
                <c:pt idx="1">
                  <c:v>18201.720870000001</c:v>
                </c:pt>
                <c:pt idx="2">
                  <c:v>18036.253887999999</c:v>
                </c:pt>
                <c:pt idx="3">
                  <c:v>17897.303232999999</c:v>
                </c:pt>
                <c:pt idx="4">
                  <c:v>17731.607369000001</c:v>
                </c:pt>
                <c:pt idx="5">
                  <c:v>17549.216945</c:v>
                </c:pt>
                <c:pt idx="6">
                  <c:v>15396.501157999999</c:v>
                </c:pt>
                <c:pt idx="7">
                  <c:v>15158.605877</c:v>
                </c:pt>
                <c:pt idx="8">
                  <c:v>14911.744186</c:v>
                </c:pt>
                <c:pt idx="9">
                  <c:v>14655.742491000001</c:v>
                </c:pt>
                <c:pt idx="10">
                  <c:v>14389.819939000001</c:v>
                </c:pt>
                <c:pt idx="11">
                  <c:v>14132.225085</c:v>
                </c:pt>
                <c:pt idx="12">
                  <c:v>13948.724157000001</c:v>
                </c:pt>
                <c:pt idx="13">
                  <c:v>13762.558072</c:v>
                </c:pt>
                <c:pt idx="14">
                  <c:v>13574.340758</c:v>
                </c:pt>
                <c:pt idx="15">
                  <c:v>13384.530006999999</c:v>
                </c:pt>
                <c:pt idx="16">
                  <c:v>13194.182244</c:v>
                </c:pt>
                <c:pt idx="17">
                  <c:v>12998.932428</c:v>
                </c:pt>
                <c:pt idx="18">
                  <c:v>12804.226128</c:v>
                </c:pt>
                <c:pt idx="19">
                  <c:v>12610.072812</c:v>
                </c:pt>
                <c:pt idx="20">
                  <c:v>12587.126439</c:v>
                </c:pt>
                <c:pt idx="21">
                  <c:v>12565.403920999999</c:v>
                </c:pt>
                <c:pt idx="22">
                  <c:v>12545.492552</c:v>
                </c:pt>
                <c:pt idx="23">
                  <c:v>12524.957716999999</c:v>
                </c:pt>
                <c:pt idx="24">
                  <c:v>12503.760705000001</c:v>
                </c:pt>
                <c:pt idx="25">
                  <c:v>12481.998231</c:v>
                </c:pt>
                <c:pt idx="26">
                  <c:v>12459.144624</c:v>
                </c:pt>
                <c:pt idx="27">
                  <c:v>12458.238583</c:v>
                </c:pt>
                <c:pt idx="28">
                  <c:v>12457.433819</c:v>
                </c:pt>
                <c:pt idx="29">
                  <c:v>12456.709057</c:v>
                </c:pt>
                <c:pt idx="30">
                  <c:v>12456.144789</c:v>
                </c:pt>
                <c:pt idx="31">
                  <c:v>12455.384518000001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A4-45C7-94D1-1293A2FD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90001"/>
        <c:axId val="51090002"/>
      </c:areaChart>
      <c:catAx>
        <c:axId val="510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90002"/>
        <c:crosses val="autoZero"/>
        <c:auto val="1"/>
        <c:lblAlgn val="ctr"/>
        <c:lblOffset val="100"/>
        <c:tickLblSkip val="2"/>
        <c:noMultiLvlLbl val="0"/>
      </c:catAx>
      <c:valAx>
        <c:axId val="510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09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Emissions'!$B$50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Emissions'!$C$50,'Total Emissions'!$AH$50)</c:f>
              <c:numCache>
                <c:formatCode>General</c:formatCode>
                <c:ptCount val="2"/>
                <c:pt idx="0">
                  <c:v>48408352.039399996</c:v>
                </c:pt>
                <c:pt idx="1">
                  <c:v>43465813.158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B-41D5-99F0-96BD487F725B}"/>
            </c:ext>
          </c:extLst>
        </c:ser>
        <c:ser>
          <c:idx val="1"/>
          <c:order val="1"/>
          <c:tx>
            <c:strRef>
              <c:f>'Total Emissions'!$B$48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Emissions'!$C$48,'Total Emissions'!$AH$48)</c:f>
              <c:numCache>
                <c:formatCode>General</c:formatCode>
                <c:ptCount val="2"/>
                <c:pt idx="0">
                  <c:v>20476927.013766222</c:v>
                </c:pt>
                <c:pt idx="1">
                  <c:v>21021863.971045248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B-41D5-99F0-96BD487F725B}"/>
            </c:ext>
          </c:extLst>
        </c:ser>
        <c:ser>
          <c:idx val="2"/>
          <c:order val="2"/>
          <c:tx>
            <c:strRef>
              <c:f>'Total Emissions'!$B$46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Emissions'!$C$46,'Total Emissions'!$AH$46)</c:f>
              <c:numCache>
                <c:formatCode>General</c:formatCode>
                <c:ptCount val="2"/>
                <c:pt idx="0">
                  <c:v>18990147.210269999</c:v>
                </c:pt>
                <c:pt idx="1">
                  <c:v>18990147.210269999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B-41D5-99F0-96BD487F725B}"/>
            </c:ext>
          </c:extLst>
        </c:ser>
        <c:ser>
          <c:idx val="3"/>
          <c:order val="3"/>
          <c:tx>
            <c:strRef>
              <c:f>'Total Emissions'!$B$49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Emissions'!$C$49,'Total Emissions'!$AH$49)</c:f>
              <c:numCache>
                <c:formatCode>General</c:formatCode>
                <c:ptCount val="2"/>
                <c:pt idx="0">
                  <c:v>9744535.1999999993</c:v>
                </c:pt>
                <c:pt idx="1">
                  <c:v>10764819.800000001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B-41D5-99F0-96BD487F725B}"/>
            </c:ext>
          </c:extLst>
        </c:ser>
        <c:ser>
          <c:idx val="4"/>
          <c:order val="4"/>
          <c:tx>
            <c:strRef>
              <c:f>'Total Emissions'!$B$45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Emissions'!$C$45,'Total Emissions'!$AH$45)</c:f>
              <c:numCache>
                <c:formatCode>General</c:formatCode>
                <c:ptCount val="2"/>
                <c:pt idx="0">
                  <c:v>7899613.5607049996</c:v>
                </c:pt>
                <c:pt idx="1">
                  <c:v>8653700.0254260004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B-41D5-99F0-96BD487F725B}"/>
            </c:ext>
          </c:extLst>
        </c:ser>
        <c:ser>
          <c:idx val="5"/>
          <c:order val="5"/>
          <c:tx>
            <c:strRef>
              <c:f>'Total Emissions'!$B$44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Emissions'!$C$44,'Total Emissions'!$AH$44)</c:f>
              <c:numCache>
                <c:formatCode>General</c:formatCode>
                <c:ptCount val="2"/>
                <c:pt idx="0">
                  <c:v>378717.85989999998</c:v>
                </c:pt>
                <c:pt idx="1">
                  <c:v>378717.85989999998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2B-41D5-99F0-96BD487F725B}"/>
            </c:ext>
          </c:extLst>
        </c:ser>
        <c:ser>
          <c:idx val="6"/>
          <c:order val="6"/>
          <c:tx>
            <c:strRef>
              <c:f>'Total Emissions'!$B$47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Emissions'!$C$47,'Total Emissions'!$AH$47)</c:f>
              <c:numCache>
                <c:formatCode>General</c:formatCode>
                <c:ptCount val="2"/>
                <c:pt idx="0">
                  <c:v>221100.7</c:v>
                </c:pt>
                <c:pt idx="1">
                  <c:v>221213.5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2B-41D5-99F0-96BD487F7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10001"/>
        <c:axId val="50110002"/>
      </c:barChart>
      <c:catAx>
        <c:axId val="501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10002"/>
        <c:crosses val="autoZero"/>
        <c:auto val="1"/>
        <c:lblAlgn val="ctr"/>
        <c:lblOffset val="100"/>
        <c:noMultiLvlLbl val="0"/>
      </c:catAx>
      <c:valAx>
        <c:axId val="501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1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Emissions'!$B$55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Emissions'!$C$55,'Transportation Emissions'!$AH$55)</c:f>
              <c:numCache>
                <c:formatCode>General</c:formatCode>
                <c:ptCount val="2"/>
                <c:pt idx="0">
                  <c:v>18055216.234627001</c:v>
                </c:pt>
                <c:pt idx="1">
                  <c:v>255753.71680600001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C-4EEA-B11E-B2946BB3C624}"/>
            </c:ext>
          </c:extLst>
        </c:ser>
        <c:ser>
          <c:idx val="1"/>
          <c:order val="1"/>
          <c:tx>
            <c:strRef>
              <c:f>'Transportation Emissions'!$B$54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Emissions'!$C$54,'Transportation Emissions'!$AH$54)</c:f>
              <c:numCache>
                <c:formatCode>General</c:formatCode>
                <c:ptCount val="2"/>
                <c:pt idx="0">
                  <c:v>8422611.7638140004</c:v>
                </c:pt>
                <c:pt idx="1">
                  <c:v>46768.156996999998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C-4EEA-B11E-B2946BB3C624}"/>
            </c:ext>
          </c:extLst>
        </c:ser>
        <c:ser>
          <c:idx val="2"/>
          <c:order val="2"/>
          <c:tx>
            <c:strRef>
              <c:f>'Transportation Emissions'!$B$56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Emissions'!$C$56,'Transportation Emissions'!$AH$56)</c:f>
              <c:numCache>
                <c:formatCode>General</c:formatCode>
                <c:ptCount val="2"/>
                <c:pt idx="0">
                  <c:v>8031389.0061720004</c:v>
                </c:pt>
                <c:pt idx="1">
                  <c:v>55331.251434999998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C-4EEA-B11E-B2946BB3C624}"/>
            </c:ext>
          </c:extLst>
        </c:ser>
        <c:ser>
          <c:idx val="3"/>
          <c:order val="3"/>
          <c:tx>
            <c:strRef>
              <c:f>'Transportation Emissions'!$B$53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Emissions'!$C$53,'Transportation Emissions'!$AH$53)</c:f>
              <c:numCache>
                <c:formatCode>General</c:formatCode>
                <c:ptCount val="2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C-4EEA-B11E-B2946BB3C624}"/>
            </c:ext>
          </c:extLst>
        </c:ser>
        <c:ser>
          <c:idx val="4"/>
          <c:order val="4"/>
          <c:tx>
            <c:strRef>
              <c:f>'Transportation Emissions'!$B$57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Emissions'!$C$57,'Transportation Emissions'!$AH$57)</c:f>
              <c:numCache>
                <c:formatCode>General</c:formatCode>
                <c:ptCount val="2"/>
                <c:pt idx="0">
                  <c:v>5718148.28773</c:v>
                </c:pt>
                <c:pt idx="1">
                  <c:v>2316657.1597460001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6C-4EEA-B11E-B2946BB3C624}"/>
            </c:ext>
          </c:extLst>
        </c:ser>
        <c:ser>
          <c:idx val="5"/>
          <c:order val="5"/>
          <c:tx>
            <c:strRef>
              <c:f>'Transportation Emissions'!$B$59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Emissions'!$C$59,'Transportation Emissions'!$AH$59)</c:f>
              <c:numCache>
                <c:formatCode>General</c:formatCode>
                <c:ptCount val="2"/>
                <c:pt idx="0">
                  <c:v>284513.37434799998</c:v>
                </c:pt>
                <c:pt idx="1">
                  <c:v>226900.76830299999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6C-4EEA-B11E-B2946BB3C624}"/>
            </c:ext>
          </c:extLst>
        </c:ser>
        <c:ser>
          <c:idx val="6"/>
          <c:order val="6"/>
          <c:tx>
            <c:strRef>
              <c:f>'Transportation Emissions'!$B$58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Emissions'!$C$58,'Transportation Emissions'!$AH$58)</c:f>
              <c:numCache>
                <c:formatCode>General</c:formatCode>
                <c:ptCount val="2"/>
                <c:pt idx="0">
                  <c:v>18225.297460000002</c:v>
                </c:pt>
                <c:pt idx="1">
                  <c:v>12455.384518000001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6C-4EEA-B11E-B2946BB3C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00001"/>
        <c:axId val="51100002"/>
      </c:barChart>
      <c:catAx>
        <c:axId val="511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00002"/>
        <c:crosses val="autoZero"/>
        <c:auto val="1"/>
        <c:lblAlgn val="ctr"/>
        <c:lblOffset val="100"/>
        <c:noMultiLvlLbl val="0"/>
      </c:catAx>
      <c:valAx>
        <c:axId val="511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0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Emissions'!$B$63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Emissions'!$C$63:$AH$63</c:f>
              <c:numCache>
                <c:formatCode>General</c:formatCode>
                <c:ptCount val="32"/>
                <c:pt idx="0">
                  <c:v>18055216.234627001</c:v>
                </c:pt>
                <c:pt idx="1">
                  <c:v>16509207.333001999</c:v>
                </c:pt>
                <c:pt idx="2">
                  <c:v>15311519.534971001</c:v>
                </c:pt>
                <c:pt idx="3">
                  <c:v>14160005.864518</c:v>
                </c:pt>
                <c:pt idx="4">
                  <c:v>13050893.440083001</c:v>
                </c:pt>
                <c:pt idx="5">
                  <c:v>11985563.168661</c:v>
                </c:pt>
                <c:pt idx="6">
                  <c:v>10872198.725256</c:v>
                </c:pt>
                <c:pt idx="7">
                  <c:v>9837677.6923019998</c:v>
                </c:pt>
                <c:pt idx="8">
                  <c:v>8851778.1785029992</c:v>
                </c:pt>
                <c:pt idx="9">
                  <c:v>7926098.3700789995</c:v>
                </c:pt>
                <c:pt idx="10">
                  <c:v>7054796.4661290003</c:v>
                </c:pt>
                <c:pt idx="11">
                  <c:v>6234897.5775230005</c:v>
                </c:pt>
                <c:pt idx="12">
                  <c:v>5458043.6860640002</c:v>
                </c:pt>
                <c:pt idx="13">
                  <c:v>4719791.9619429996</c:v>
                </c:pt>
                <c:pt idx="14">
                  <c:v>4014019.1572980001</c:v>
                </c:pt>
                <c:pt idx="15">
                  <c:v>3336028.347972</c:v>
                </c:pt>
                <c:pt idx="16">
                  <c:v>2682356.1787399999</c:v>
                </c:pt>
                <c:pt idx="17">
                  <c:v>2489566.4324969999</c:v>
                </c:pt>
                <c:pt idx="18">
                  <c:v>2303029.4045330002</c:v>
                </c:pt>
                <c:pt idx="19">
                  <c:v>2122096.0804110002</c:v>
                </c:pt>
                <c:pt idx="20">
                  <c:v>1963816.105769</c:v>
                </c:pt>
                <c:pt idx="21">
                  <c:v>1806983.2462239999</c:v>
                </c:pt>
                <c:pt idx="22">
                  <c:v>1650537.6966359999</c:v>
                </c:pt>
                <c:pt idx="23">
                  <c:v>1494686.386277</c:v>
                </c:pt>
                <c:pt idx="24">
                  <c:v>1339191.5220570001</c:v>
                </c:pt>
                <c:pt idx="25">
                  <c:v>1183893.6013549999</c:v>
                </c:pt>
                <c:pt idx="26">
                  <c:v>1028519.587768</c:v>
                </c:pt>
                <c:pt idx="27">
                  <c:v>875120.00644000003</c:v>
                </c:pt>
                <c:pt idx="28">
                  <c:v>721680.08020600001</c:v>
                </c:pt>
                <c:pt idx="29">
                  <c:v>568162.40116000001</c:v>
                </c:pt>
                <c:pt idx="30">
                  <c:v>414599.26539999997</c:v>
                </c:pt>
                <c:pt idx="31">
                  <c:v>260945.100355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3-4256-A407-F471FE08CEAC}"/>
            </c:ext>
          </c:extLst>
        </c:ser>
        <c:ser>
          <c:idx val="1"/>
          <c:order val="1"/>
          <c:tx>
            <c:strRef>
              <c:f>'Transportation Emissions'!$B$62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Emissions'!$C$62:$AH$62</c:f>
              <c:numCache>
                <c:formatCode>General</c:formatCode>
                <c:ptCount val="32"/>
                <c:pt idx="0">
                  <c:v>8422611.7638140004</c:v>
                </c:pt>
                <c:pt idx="1">
                  <c:v>8778290.734615</c:v>
                </c:pt>
                <c:pt idx="2">
                  <c:v>8465207.7324199993</c:v>
                </c:pt>
                <c:pt idx="3">
                  <c:v>8163446.9230359998</c:v>
                </c:pt>
                <c:pt idx="4">
                  <c:v>7834760.6778270006</c:v>
                </c:pt>
                <c:pt idx="5">
                  <c:v>7411328.8067500005</c:v>
                </c:pt>
                <c:pt idx="6">
                  <c:v>6476143.0991719998</c:v>
                </c:pt>
                <c:pt idx="7">
                  <c:v>5927440.8801159998</c:v>
                </c:pt>
                <c:pt idx="8">
                  <c:v>5302341.0144199999</c:v>
                </c:pt>
                <c:pt idx="9">
                  <c:v>4665563.3589939997</c:v>
                </c:pt>
                <c:pt idx="10">
                  <c:v>4059885.560325</c:v>
                </c:pt>
                <c:pt idx="11">
                  <c:v>3548085.1672970001</c:v>
                </c:pt>
                <c:pt idx="12">
                  <c:v>3167782.4742549998</c:v>
                </c:pt>
                <c:pt idx="13">
                  <c:v>2858702.0613600002</c:v>
                </c:pt>
                <c:pt idx="14">
                  <c:v>2580699.2919319998</c:v>
                </c:pt>
                <c:pt idx="15">
                  <c:v>2249501.2430560002</c:v>
                </c:pt>
                <c:pt idx="16">
                  <c:v>1995011.4166550001</c:v>
                </c:pt>
                <c:pt idx="17">
                  <c:v>1733972.868821</c:v>
                </c:pt>
                <c:pt idx="18">
                  <c:v>1468299.4906039999</c:v>
                </c:pt>
                <c:pt idx="19">
                  <c:v>1216742.801639</c:v>
                </c:pt>
                <c:pt idx="20">
                  <c:v>1004583.7972950001</c:v>
                </c:pt>
                <c:pt idx="21">
                  <c:v>818103.89428200002</c:v>
                </c:pt>
                <c:pt idx="22">
                  <c:v>655360.86774999998</c:v>
                </c:pt>
                <c:pt idx="23">
                  <c:v>509682.52035300003</c:v>
                </c:pt>
                <c:pt idx="24">
                  <c:v>385937.01865099999</c:v>
                </c:pt>
                <c:pt idx="25">
                  <c:v>284952.65985900001</c:v>
                </c:pt>
                <c:pt idx="26">
                  <c:v>204801.06276999999</c:v>
                </c:pt>
                <c:pt idx="27">
                  <c:v>146035.13296399999</c:v>
                </c:pt>
                <c:pt idx="28">
                  <c:v>104584.77402500001</c:v>
                </c:pt>
                <c:pt idx="29">
                  <c:v>77693.059813</c:v>
                </c:pt>
                <c:pt idx="30">
                  <c:v>62108.330865999997</c:v>
                </c:pt>
                <c:pt idx="31">
                  <c:v>54004.413219000002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23-4256-A407-F471FE08CEAC}"/>
            </c:ext>
          </c:extLst>
        </c:ser>
        <c:ser>
          <c:idx val="2"/>
          <c:order val="2"/>
          <c:tx>
            <c:strRef>
              <c:f>'Transportation Emissions'!$B$64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Emissions'!$C$64:$AH$64</c:f>
              <c:numCache>
                <c:formatCode>General</c:formatCode>
                <c:ptCount val="32"/>
                <c:pt idx="0">
                  <c:v>8031389.0061720004</c:v>
                </c:pt>
                <c:pt idx="1">
                  <c:v>8503564.3104120009</c:v>
                </c:pt>
                <c:pt idx="2">
                  <c:v>8456638.4810809996</c:v>
                </c:pt>
                <c:pt idx="3">
                  <c:v>8174012.2590129999</c:v>
                </c:pt>
                <c:pt idx="4">
                  <c:v>7988501.9034320004</c:v>
                </c:pt>
                <c:pt idx="5">
                  <c:v>7593142.9184990004</c:v>
                </c:pt>
                <c:pt idx="6">
                  <c:v>6942858.6576199997</c:v>
                </c:pt>
                <c:pt idx="7">
                  <c:v>6465423.0518460004</c:v>
                </c:pt>
                <c:pt idx="8">
                  <c:v>5942734.8828360001</c:v>
                </c:pt>
                <c:pt idx="9">
                  <c:v>5352560.6139890002</c:v>
                </c:pt>
                <c:pt idx="10">
                  <c:v>4761591.6619459996</c:v>
                </c:pt>
                <c:pt idx="11">
                  <c:v>4257996.7051240001</c:v>
                </c:pt>
                <c:pt idx="12">
                  <c:v>3810068.7147050002</c:v>
                </c:pt>
                <c:pt idx="13">
                  <c:v>3430731.7227050001</c:v>
                </c:pt>
                <c:pt idx="14">
                  <c:v>3090736.5858459999</c:v>
                </c:pt>
                <c:pt idx="15">
                  <c:v>2687835.0113309999</c:v>
                </c:pt>
                <c:pt idx="16">
                  <c:v>2371885.676831</c:v>
                </c:pt>
                <c:pt idx="17">
                  <c:v>2053823.9405050001</c:v>
                </c:pt>
                <c:pt idx="18">
                  <c:v>1739666.657017</c:v>
                </c:pt>
                <c:pt idx="19">
                  <c:v>1444951.4651180001</c:v>
                </c:pt>
                <c:pt idx="20">
                  <c:v>1197209.7568950001</c:v>
                </c:pt>
                <c:pt idx="21">
                  <c:v>979251.35435200005</c:v>
                </c:pt>
                <c:pt idx="22">
                  <c:v>789281.64899300004</c:v>
                </c:pt>
                <c:pt idx="23">
                  <c:v>617713.18238100002</c:v>
                </c:pt>
                <c:pt idx="24">
                  <c:v>470394.09515200002</c:v>
                </c:pt>
                <c:pt idx="25">
                  <c:v>349075.33075700002</c:v>
                </c:pt>
                <c:pt idx="26">
                  <c:v>251973.40380500001</c:v>
                </c:pt>
                <c:pt idx="27">
                  <c:v>179921.100798</c:v>
                </c:pt>
                <c:pt idx="28">
                  <c:v>128393.454526</c:v>
                </c:pt>
                <c:pt idx="29">
                  <c:v>94401.029884999996</c:v>
                </c:pt>
                <c:pt idx="30">
                  <c:v>74344.880487000002</c:v>
                </c:pt>
                <c:pt idx="31">
                  <c:v>63745.027484999999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23-4256-A407-F471FE08CEAC}"/>
            </c:ext>
          </c:extLst>
        </c:ser>
        <c:ser>
          <c:idx val="3"/>
          <c:order val="3"/>
          <c:tx>
            <c:strRef>
              <c:f>'Transportation Emissions'!$B$61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Emissions'!$C$61:$AH$61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7785012.07424</c:v>
                </c:pt>
                <c:pt idx="3">
                  <c:v>7697540.2657160005</c:v>
                </c:pt>
                <c:pt idx="4">
                  <c:v>7610068.4571930002</c:v>
                </c:pt>
                <c:pt idx="5">
                  <c:v>7522596.1794330003</c:v>
                </c:pt>
                <c:pt idx="6">
                  <c:v>7435123.9016730003</c:v>
                </c:pt>
                <c:pt idx="7">
                  <c:v>7347652.0931489998</c:v>
                </c:pt>
                <c:pt idx="8">
                  <c:v>7260180.2846259996</c:v>
                </c:pt>
                <c:pt idx="9">
                  <c:v>7172708.0068650004</c:v>
                </c:pt>
                <c:pt idx="10">
                  <c:v>7085235.7291050004</c:v>
                </c:pt>
                <c:pt idx="11">
                  <c:v>6997763.9205820002</c:v>
                </c:pt>
                <c:pt idx="12">
                  <c:v>6910292.1120579997</c:v>
                </c:pt>
                <c:pt idx="13">
                  <c:v>6822819.8342979997</c:v>
                </c:pt>
                <c:pt idx="14">
                  <c:v>6735347.5565379998</c:v>
                </c:pt>
                <c:pt idx="15">
                  <c:v>6647875.7480149996</c:v>
                </c:pt>
                <c:pt idx="16">
                  <c:v>6560403.939491</c:v>
                </c:pt>
                <c:pt idx="17">
                  <c:v>6472931.6617310001</c:v>
                </c:pt>
                <c:pt idx="18">
                  <c:v>6385459.3839710001</c:v>
                </c:pt>
                <c:pt idx="19">
                  <c:v>6297987.5754469996</c:v>
                </c:pt>
                <c:pt idx="20">
                  <c:v>6297987.5754469996</c:v>
                </c:pt>
                <c:pt idx="21">
                  <c:v>6297987.5754469996</c:v>
                </c:pt>
                <c:pt idx="22">
                  <c:v>6297987.5754469996</c:v>
                </c:pt>
                <c:pt idx="23">
                  <c:v>6297987.5754469996</c:v>
                </c:pt>
                <c:pt idx="24">
                  <c:v>6297987.5754469996</c:v>
                </c:pt>
                <c:pt idx="25">
                  <c:v>6297987.5754469996</c:v>
                </c:pt>
                <c:pt idx="26">
                  <c:v>6297987.5754469996</c:v>
                </c:pt>
                <c:pt idx="27">
                  <c:v>6297987.5754469996</c:v>
                </c:pt>
                <c:pt idx="28">
                  <c:v>6297987.5754469996</c:v>
                </c:pt>
                <c:pt idx="29">
                  <c:v>6297987.5754469996</c:v>
                </c:pt>
                <c:pt idx="30">
                  <c:v>6297987.5754469996</c:v>
                </c:pt>
                <c:pt idx="3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23-4256-A407-F471FE08CEAC}"/>
            </c:ext>
          </c:extLst>
        </c:ser>
        <c:ser>
          <c:idx val="4"/>
          <c:order val="4"/>
          <c:tx>
            <c:strRef>
              <c:f>'Transportation Emissions'!$B$65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Emissions'!$C$65:$AH$65</c:f>
              <c:numCache>
                <c:formatCode>General</c:formatCode>
                <c:ptCount val="32"/>
                <c:pt idx="0">
                  <c:v>5718148.28773</c:v>
                </c:pt>
                <c:pt idx="1">
                  <c:v>5718148.28773</c:v>
                </c:pt>
                <c:pt idx="2">
                  <c:v>5654613.1401279997</c:v>
                </c:pt>
                <c:pt idx="3">
                  <c:v>5591078.333354</c:v>
                </c:pt>
                <c:pt idx="4">
                  <c:v>5504549.1214489993</c:v>
                </c:pt>
                <c:pt idx="5">
                  <c:v>5308969.3331880001</c:v>
                </c:pt>
                <c:pt idx="6">
                  <c:v>5074742.1095979996</c:v>
                </c:pt>
                <c:pt idx="7">
                  <c:v>4864553.408605</c:v>
                </c:pt>
                <c:pt idx="8">
                  <c:v>4656628.8013230003</c:v>
                </c:pt>
                <c:pt idx="9">
                  <c:v>4451051.0580979995</c:v>
                </c:pt>
                <c:pt idx="10">
                  <c:v>4247985.7098639999</c:v>
                </c:pt>
                <c:pt idx="11">
                  <c:v>4048572.9523430001</c:v>
                </c:pt>
                <c:pt idx="12">
                  <c:v>3854878.1120079998</c:v>
                </c:pt>
                <c:pt idx="13">
                  <c:v>3664477.8016860001</c:v>
                </c:pt>
                <c:pt idx="14">
                  <c:v>3477390.63479</c:v>
                </c:pt>
                <c:pt idx="15">
                  <c:v>3293636.9426230001</c:v>
                </c:pt>
                <c:pt idx="16">
                  <c:v>3113441.8524290002</c:v>
                </c:pt>
                <c:pt idx="17">
                  <c:v>2936891.5677009998</c:v>
                </c:pt>
                <c:pt idx="18">
                  <c:v>2763846.9060829999</c:v>
                </c:pt>
                <c:pt idx="19">
                  <c:v>2594332.9229609999</c:v>
                </c:pt>
                <c:pt idx="20">
                  <c:v>2462030.1351800002</c:v>
                </c:pt>
                <c:pt idx="21">
                  <c:v>2329809.433125</c:v>
                </c:pt>
                <c:pt idx="22">
                  <c:v>2328697.8951940001</c:v>
                </c:pt>
                <c:pt idx="23">
                  <c:v>2327436.1177110001</c:v>
                </c:pt>
                <c:pt idx="24">
                  <c:v>2326013.6918759998</c:v>
                </c:pt>
                <c:pt idx="25">
                  <c:v>2324464.1862840001</c:v>
                </c:pt>
                <c:pt idx="26">
                  <c:v>2322649.4291360001</c:v>
                </c:pt>
                <c:pt idx="27">
                  <c:v>2322442.1811600002</c:v>
                </c:pt>
                <c:pt idx="28">
                  <c:v>2322259.840026</c:v>
                </c:pt>
                <c:pt idx="29">
                  <c:v>2322097.5501950001</c:v>
                </c:pt>
                <c:pt idx="30">
                  <c:v>2321987.615396</c:v>
                </c:pt>
                <c:pt idx="31">
                  <c:v>2321805.2425219999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23-4256-A407-F471FE08CEAC}"/>
            </c:ext>
          </c:extLst>
        </c:ser>
        <c:ser>
          <c:idx val="5"/>
          <c:order val="5"/>
          <c:tx>
            <c:strRef>
              <c:f>'Transportation Emissions'!$B$67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Emissions'!$C$67:$AH$67</c:f>
              <c:numCache>
                <c:formatCode>General</c:formatCode>
                <c:ptCount val="32"/>
                <c:pt idx="0">
                  <c:v>284513.37434799998</c:v>
                </c:pt>
                <c:pt idx="1">
                  <c:v>284514.11931500002</c:v>
                </c:pt>
                <c:pt idx="2">
                  <c:v>281404.27164499997</c:v>
                </c:pt>
                <c:pt idx="3">
                  <c:v>278304.377615</c:v>
                </c:pt>
                <c:pt idx="4">
                  <c:v>275174.75832600001</c:v>
                </c:pt>
                <c:pt idx="5">
                  <c:v>272044.18478399998</c:v>
                </c:pt>
                <c:pt idx="6">
                  <c:v>267772.446956</c:v>
                </c:pt>
                <c:pt idx="7">
                  <c:v>264609.34032199997</c:v>
                </c:pt>
                <c:pt idx="8">
                  <c:v>261453.33808300001</c:v>
                </c:pt>
                <c:pt idx="9">
                  <c:v>258297.67967000001</c:v>
                </c:pt>
                <c:pt idx="10">
                  <c:v>255142.10786300001</c:v>
                </c:pt>
                <c:pt idx="11">
                  <c:v>251996.195924</c:v>
                </c:pt>
                <c:pt idx="12">
                  <c:v>248870.433831</c:v>
                </c:pt>
                <c:pt idx="13">
                  <c:v>245743.615747</c:v>
                </c:pt>
                <c:pt idx="14">
                  <c:v>242614.30725400001</c:v>
                </c:pt>
                <c:pt idx="15">
                  <c:v>239482.436587</c:v>
                </c:pt>
                <c:pt idx="16">
                  <c:v>236358.75783399999</c:v>
                </c:pt>
                <c:pt idx="17">
                  <c:v>233211.70519199999</c:v>
                </c:pt>
                <c:pt idx="18">
                  <c:v>230062.84335099999</c:v>
                </c:pt>
                <c:pt idx="19">
                  <c:v>226913.66753199999</c:v>
                </c:pt>
                <c:pt idx="20">
                  <c:v>226892.94245999999</c:v>
                </c:pt>
                <c:pt idx="21">
                  <c:v>226875.01508700001</c:v>
                </c:pt>
                <c:pt idx="22">
                  <c:v>226861.123292</c:v>
                </c:pt>
                <c:pt idx="23">
                  <c:v>226849.41560199999</c:v>
                </c:pt>
                <c:pt idx="24">
                  <c:v>226841.52417300001</c:v>
                </c:pt>
                <c:pt idx="25">
                  <c:v>226838.85156499999</c:v>
                </c:pt>
                <c:pt idx="26">
                  <c:v>226841.98947500001</c:v>
                </c:pt>
                <c:pt idx="27">
                  <c:v>226858.26392500001</c:v>
                </c:pt>
                <c:pt idx="28">
                  <c:v>226881.42761300001</c:v>
                </c:pt>
                <c:pt idx="29">
                  <c:v>226908.317618</c:v>
                </c:pt>
                <c:pt idx="30">
                  <c:v>226931.142116</c:v>
                </c:pt>
                <c:pt idx="31">
                  <c:v>226918.78617100001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23-4256-A407-F471FE08CEAC}"/>
            </c:ext>
          </c:extLst>
        </c:ser>
        <c:ser>
          <c:idx val="6"/>
          <c:order val="6"/>
          <c:tx>
            <c:strRef>
              <c:f>'Transportation Emissions'!$B$66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Emissions'!$C$66:$AH$66</c:f>
              <c:numCache>
                <c:formatCode>General</c:formatCode>
                <c:ptCount val="32"/>
                <c:pt idx="0">
                  <c:v>18225.297460000002</c:v>
                </c:pt>
                <c:pt idx="1">
                  <c:v>18201.720870000001</c:v>
                </c:pt>
                <c:pt idx="2">
                  <c:v>18036.253887999999</c:v>
                </c:pt>
                <c:pt idx="3">
                  <c:v>17897.303232999999</c:v>
                </c:pt>
                <c:pt idx="4">
                  <c:v>17699.728952000001</c:v>
                </c:pt>
                <c:pt idx="5">
                  <c:v>17501.769821000002</c:v>
                </c:pt>
                <c:pt idx="6">
                  <c:v>15260.245981</c:v>
                </c:pt>
                <c:pt idx="7">
                  <c:v>15005.021769000001</c:v>
                </c:pt>
                <c:pt idx="8">
                  <c:v>14753.912753000001</c:v>
                </c:pt>
                <c:pt idx="9">
                  <c:v>14506.234874</c:v>
                </c:pt>
                <c:pt idx="10">
                  <c:v>14263.16366</c:v>
                </c:pt>
                <c:pt idx="11">
                  <c:v>14039.632825000001</c:v>
                </c:pt>
                <c:pt idx="12">
                  <c:v>13855.288377999999</c:v>
                </c:pt>
                <c:pt idx="13">
                  <c:v>13669.282391999999</c:v>
                </c:pt>
                <c:pt idx="14">
                  <c:v>13482.296257</c:v>
                </c:pt>
                <c:pt idx="15">
                  <c:v>13294.785008000001</c:v>
                </c:pt>
                <c:pt idx="16">
                  <c:v>13108.841983</c:v>
                </c:pt>
                <c:pt idx="17">
                  <c:v>12924.806205999999</c:v>
                </c:pt>
                <c:pt idx="18">
                  <c:v>12741.228848000001</c:v>
                </c:pt>
                <c:pt idx="19">
                  <c:v>12558.194149000001</c:v>
                </c:pt>
                <c:pt idx="20">
                  <c:v>12546.485989000001</c:v>
                </c:pt>
                <c:pt idx="21">
                  <c:v>12536.648660000001</c:v>
                </c:pt>
                <c:pt idx="22">
                  <c:v>12529.780784</c:v>
                </c:pt>
                <c:pt idx="23">
                  <c:v>12521.984619000001</c:v>
                </c:pt>
                <c:pt idx="24">
                  <c:v>12513.195868000001</c:v>
                </c:pt>
                <c:pt idx="25">
                  <c:v>12503.62191</c:v>
                </c:pt>
                <c:pt idx="26">
                  <c:v>12492.409043</c:v>
                </c:pt>
                <c:pt idx="27">
                  <c:v>12491.128522999999</c:v>
                </c:pt>
                <c:pt idx="28">
                  <c:v>12490.001888000001</c:v>
                </c:pt>
                <c:pt idx="29">
                  <c:v>12488.999148999999</c:v>
                </c:pt>
                <c:pt idx="30">
                  <c:v>12488.319882</c:v>
                </c:pt>
                <c:pt idx="31">
                  <c:v>12487.193053999999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23-4256-A407-F471FE08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10001"/>
        <c:axId val="51110002"/>
      </c:areaChart>
      <c:catAx>
        <c:axId val="511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10002"/>
        <c:crosses val="autoZero"/>
        <c:auto val="1"/>
        <c:lblAlgn val="ctr"/>
        <c:lblOffset val="100"/>
        <c:tickLblSkip val="2"/>
        <c:noMultiLvlLbl val="0"/>
      </c:catAx>
      <c:valAx>
        <c:axId val="511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1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Emissions'!$B$63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Emissions'!$C$63,'Transportation Emissions'!$AH$63)</c:f>
              <c:numCache>
                <c:formatCode>General</c:formatCode>
                <c:ptCount val="2"/>
                <c:pt idx="0">
                  <c:v>18055216.234627001</c:v>
                </c:pt>
                <c:pt idx="1">
                  <c:v>260945.100355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F-46FE-9CFD-778990D1B27E}"/>
            </c:ext>
          </c:extLst>
        </c:ser>
        <c:ser>
          <c:idx val="1"/>
          <c:order val="1"/>
          <c:tx>
            <c:strRef>
              <c:f>'Transportation Emissions'!$B$62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Emissions'!$C$62,'Transportation Emissions'!$AH$62)</c:f>
              <c:numCache>
                <c:formatCode>General</c:formatCode>
                <c:ptCount val="2"/>
                <c:pt idx="0">
                  <c:v>8422611.7638140004</c:v>
                </c:pt>
                <c:pt idx="1">
                  <c:v>54004.413219000002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F-46FE-9CFD-778990D1B27E}"/>
            </c:ext>
          </c:extLst>
        </c:ser>
        <c:ser>
          <c:idx val="2"/>
          <c:order val="2"/>
          <c:tx>
            <c:strRef>
              <c:f>'Transportation Emissions'!$B$64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Emissions'!$C$64,'Transportation Emissions'!$AH$64)</c:f>
              <c:numCache>
                <c:formatCode>General</c:formatCode>
                <c:ptCount val="2"/>
                <c:pt idx="0">
                  <c:v>8031389.0061720004</c:v>
                </c:pt>
                <c:pt idx="1">
                  <c:v>63745.027484999999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8F-46FE-9CFD-778990D1B27E}"/>
            </c:ext>
          </c:extLst>
        </c:ser>
        <c:ser>
          <c:idx val="3"/>
          <c:order val="3"/>
          <c:tx>
            <c:strRef>
              <c:f>'Transportation Emissions'!$B$61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Emissions'!$C$61,'Transportation Emissions'!$AH$61)</c:f>
              <c:numCache>
                <c:formatCode>General</c:formatCode>
                <c:ptCount val="2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8F-46FE-9CFD-778990D1B27E}"/>
            </c:ext>
          </c:extLst>
        </c:ser>
        <c:ser>
          <c:idx val="4"/>
          <c:order val="4"/>
          <c:tx>
            <c:strRef>
              <c:f>'Transportation Emissions'!$B$65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Emissions'!$C$65,'Transportation Emissions'!$AH$65)</c:f>
              <c:numCache>
                <c:formatCode>General</c:formatCode>
                <c:ptCount val="2"/>
                <c:pt idx="0">
                  <c:v>5718148.28773</c:v>
                </c:pt>
                <c:pt idx="1">
                  <c:v>2321805.2425219999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8F-46FE-9CFD-778990D1B27E}"/>
            </c:ext>
          </c:extLst>
        </c:ser>
        <c:ser>
          <c:idx val="5"/>
          <c:order val="5"/>
          <c:tx>
            <c:strRef>
              <c:f>'Transportation Emissions'!$B$67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Emissions'!$C$67,'Transportation Emissions'!$AH$67)</c:f>
              <c:numCache>
                <c:formatCode>General</c:formatCode>
                <c:ptCount val="2"/>
                <c:pt idx="0">
                  <c:v>284513.37434799998</c:v>
                </c:pt>
                <c:pt idx="1">
                  <c:v>226918.78617100001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8F-46FE-9CFD-778990D1B27E}"/>
            </c:ext>
          </c:extLst>
        </c:ser>
        <c:ser>
          <c:idx val="6"/>
          <c:order val="6"/>
          <c:tx>
            <c:strRef>
              <c:f>'Transportation Emissions'!$B$66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Emissions'!$C$66,'Transportation Emissions'!$AH$66)</c:f>
              <c:numCache>
                <c:formatCode>General</c:formatCode>
                <c:ptCount val="2"/>
                <c:pt idx="0">
                  <c:v>18225.297460000002</c:v>
                </c:pt>
                <c:pt idx="1">
                  <c:v>12487.193053999999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8F-46FE-9CFD-778990D1B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20001"/>
        <c:axId val="51120002"/>
      </c:barChart>
      <c:catAx>
        <c:axId val="511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20002"/>
        <c:crosses val="autoZero"/>
        <c:auto val="1"/>
        <c:lblAlgn val="ctr"/>
        <c:lblOffset val="100"/>
        <c:noMultiLvlLbl val="0"/>
      </c:catAx>
      <c:valAx>
        <c:axId val="511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Emissions'!$B$71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Emissions'!$C$71:$AH$71</c:f>
              <c:numCache>
                <c:formatCode>General</c:formatCode>
                <c:ptCount val="32"/>
                <c:pt idx="0">
                  <c:v>18055216.234627001</c:v>
                </c:pt>
                <c:pt idx="1">
                  <c:v>16497852.564130999</c:v>
                </c:pt>
                <c:pt idx="2">
                  <c:v>15884210.94637</c:v>
                </c:pt>
                <c:pt idx="3">
                  <c:v>15286439.330793001</c:v>
                </c:pt>
                <c:pt idx="4">
                  <c:v>14078552.28554</c:v>
                </c:pt>
                <c:pt idx="5">
                  <c:v>12934690.842062</c:v>
                </c:pt>
                <c:pt idx="6">
                  <c:v>11777524.394323001</c:v>
                </c:pt>
                <c:pt idx="7">
                  <c:v>10708857.481269</c:v>
                </c:pt>
                <c:pt idx="8">
                  <c:v>9707749.050028</c:v>
                </c:pt>
                <c:pt idx="9">
                  <c:v>8785752.7576129995</c:v>
                </c:pt>
                <c:pt idx="10">
                  <c:v>7935455.3434220003</c:v>
                </c:pt>
                <c:pt idx="11">
                  <c:v>7153043.0675100004</c:v>
                </c:pt>
                <c:pt idx="12">
                  <c:v>6662484.0629599998</c:v>
                </c:pt>
                <c:pt idx="13">
                  <c:v>6208002.1107839998</c:v>
                </c:pt>
                <c:pt idx="14">
                  <c:v>5784338.0037040003</c:v>
                </c:pt>
                <c:pt idx="15">
                  <c:v>5387528.7578609996</c:v>
                </c:pt>
                <c:pt idx="16">
                  <c:v>5013755.7793770004</c:v>
                </c:pt>
                <c:pt idx="17">
                  <c:v>4660797.2644060003</c:v>
                </c:pt>
                <c:pt idx="18">
                  <c:v>4326992.9791329997</c:v>
                </c:pt>
                <c:pt idx="19">
                  <c:v>4010740.438546</c:v>
                </c:pt>
                <c:pt idx="20">
                  <c:v>3762108.989544</c:v>
                </c:pt>
                <c:pt idx="21">
                  <c:v>3521933.6446619998</c:v>
                </c:pt>
                <c:pt idx="22">
                  <c:v>3155633.558855</c:v>
                </c:pt>
                <c:pt idx="23">
                  <c:v>2803586.9946730002</c:v>
                </c:pt>
                <c:pt idx="24">
                  <c:v>2465338.6887650001</c:v>
                </c:pt>
                <c:pt idx="25">
                  <c:v>2140612.428138</c:v>
                </c:pt>
                <c:pt idx="26">
                  <c:v>1829044.920647</c:v>
                </c:pt>
                <c:pt idx="27">
                  <c:v>1537172.6563899999</c:v>
                </c:pt>
                <c:pt idx="28">
                  <c:v>1258950.1349559999</c:v>
                </c:pt>
                <c:pt idx="29">
                  <c:v>994518.35334599996</c:v>
                </c:pt>
                <c:pt idx="30">
                  <c:v>744123.683876</c:v>
                </c:pt>
                <c:pt idx="31">
                  <c:v>507765.29715300002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536-BB51-FE66A9C3F8E6}"/>
            </c:ext>
          </c:extLst>
        </c:ser>
        <c:ser>
          <c:idx val="1"/>
          <c:order val="1"/>
          <c:tx>
            <c:strRef>
              <c:f>'Transportation Emissions'!$B$70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Emissions'!$C$70:$AH$70</c:f>
              <c:numCache>
                <c:formatCode>General</c:formatCode>
                <c:ptCount val="32"/>
                <c:pt idx="0">
                  <c:v>8422611.7638140004</c:v>
                </c:pt>
                <c:pt idx="1">
                  <c:v>8778297.6664550006</c:v>
                </c:pt>
                <c:pt idx="2">
                  <c:v>8638133.7754900008</c:v>
                </c:pt>
                <c:pt idx="3">
                  <c:v>8499950.6893739998</c:v>
                </c:pt>
                <c:pt idx="4">
                  <c:v>7970703.8362710001</c:v>
                </c:pt>
                <c:pt idx="5">
                  <c:v>7354214.7697780002</c:v>
                </c:pt>
                <c:pt idx="6">
                  <c:v>6254618.0532670002</c:v>
                </c:pt>
                <c:pt idx="7">
                  <c:v>5560525.142577</c:v>
                </c:pt>
                <c:pt idx="8">
                  <c:v>4820158.9246610003</c:v>
                </c:pt>
                <c:pt idx="9">
                  <c:v>4099976.232233</c:v>
                </c:pt>
                <c:pt idx="10">
                  <c:v>3439395.1528810002</c:v>
                </c:pt>
                <c:pt idx="11">
                  <c:v>2888538.5287990002</c:v>
                </c:pt>
                <c:pt idx="12">
                  <c:v>2559065.9530710001</c:v>
                </c:pt>
                <c:pt idx="13">
                  <c:v>2290480.775618</c:v>
                </c:pt>
                <c:pt idx="14">
                  <c:v>2050019.4598139999</c:v>
                </c:pt>
                <c:pt idx="15">
                  <c:v>1773302.58999</c:v>
                </c:pt>
                <c:pt idx="16">
                  <c:v>1559411.306327</c:v>
                </c:pt>
                <c:pt idx="17">
                  <c:v>1337724.7708759999</c:v>
                </c:pt>
                <c:pt idx="18">
                  <c:v>1119276.9525210001</c:v>
                </c:pt>
                <c:pt idx="19">
                  <c:v>917706.95317300002</c:v>
                </c:pt>
                <c:pt idx="20">
                  <c:v>750082.612677</c:v>
                </c:pt>
                <c:pt idx="21">
                  <c:v>605304.60397099995</c:v>
                </c:pt>
                <c:pt idx="22">
                  <c:v>458293.80571799999</c:v>
                </c:pt>
                <c:pt idx="23">
                  <c:v>338007.17349700001</c:v>
                </c:pt>
                <c:pt idx="24">
                  <c:v>244261.832604</c:v>
                </c:pt>
                <c:pt idx="25">
                  <c:v>174029.094059</c:v>
                </c:pt>
                <c:pt idx="26">
                  <c:v>122706.496178</c:v>
                </c:pt>
                <c:pt idx="27">
                  <c:v>94057.876189000002</c:v>
                </c:pt>
                <c:pt idx="28">
                  <c:v>76995.941395999995</c:v>
                </c:pt>
                <c:pt idx="29">
                  <c:v>67964.599772999994</c:v>
                </c:pt>
                <c:pt idx="30">
                  <c:v>63998.565297000001</c:v>
                </c:pt>
                <c:pt idx="31">
                  <c:v>62504.883042000001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536-BB51-FE66A9C3F8E6}"/>
            </c:ext>
          </c:extLst>
        </c:ser>
        <c:ser>
          <c:idx val="2"/>
          <c:order val="2"/>
          <c:tx>
            <c:strRef>
              <c:f>'Transportation Emissions'!$B$72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Emissions'!$C$72:$AH$72</c:f>
              <c:numCache>
                <c:formatCode>General</c:formatCode>
                <c:ptCount val="32"/>
                <c:pt idx="0">
                  <c:v>8031389.0061720004</c:v>
                </c:pt>
                <c:pt idx="1">
                  <c:v>8503576.2057140004</c:v>
                </c:pt>
                <c:pt idx="2">
                  <c:v>8631637.5165999997</c:v>
                </c:pt>
                <c:pt idx="3">
                  <c:v>8515779.0461459998</c:v>
                </c:pt>
                <c:pt idx="4">
                  <c:v>8134724.8379560001</c:v>
                </c:pt>
                <c:pt idx="5">
                  <c:v>7545096.2750159996</c:v>
                </c:pt>
                <c:pt idx="6">
                  <c:v>6718720.4935879996</c:v>
                </c:pt>
                <c:pt idx="7">
                  <c:v>6080707.3000999996</c:v>
                </c:pt>
                <c:pt idx="8">
                  <c:v>5419518.259513</c:v>
                </c:pt>
                <c:pt idx="9">
                  <c:v>4721737.2550349999</c:v>
                </c:pt>
                <c:pt idx="10">
                  <c:v>4051837.5797700002</c:v>
                </c:pt>
                <c:pt idx="11">
                  <c:v>3483760.9676589998</c:v>
                </c:pt>
                <c:pt idx="12">
                  <c:v>3095351.9391419999</c:v>
                </c:pt>
                <c:pt idx="13">
                  <c:v>2766352.2543000001</c:v>
                </c:pt>
                <c:pt idx="14">
                  <c:v>2472269.2118790001</c:v>
                </c:pt>
                <c:pt idx="15">
                  <c:v>2134434.7327549998</c:v>
                </c:pt>
                <c:pt idx="16">
                  <c:v>1868597.4290430001</c:v>
                </c:pt>
                <c:pt idx="17">
                  <c:v>1597475.8754179999</c:v>
                </c:pt>
                <c:pt idx="18">
                  <c:v>1337158.2768999999</c:v>
                </c:pt>
                <c:pt idx="19">
                  <c:v>1098747.658639</c:v>
                </c:pt>
                <c:pt idx="20">
                  <c:v>900928.62791399995</c:v>
                </c:pt>
                <c:pt idx="21">
                  <c:v>729777.18935599993</c:v>
                </c:pt>
                <c:pt idx="22">
                  <c:v>554967.31190299999</c:v>
                </c:pt>
                <c:pt idx="23">
                  <c:v>410967.21255599998</c:v>
                </c:pt>
                <c:pt idx="24">
                  <c:v>297838.12711599999</c:v>
                </c:pt>
                <c:pt idx="25">
                  <c:v>212512.39763699999</c:v>
                </c:pt>
                <c:pt idx="26">
                  <c:v>149798.86972300001</c:v>
                </c:pt>
                <c:pt idx="27">
                  <c:v>114229.961811</c:v>
                </c:pt>
                <c:pt idx="28">
                  <c:v>92779.753580000004</c:v>
                </c:pt>
                <c:pt idx="29">
                  <c:v>81238.250495</c:v>
                </c:pt>
                <c:pt idx="30">
                  <c:v>76043.688880999995</c:v>
                </c:pt>
                <c:pt idx="31">
                  <c:v>74022.698285999999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8-4536-BB51-FE66A9C3F8E6}"/>
            </c:ext>
          </c:extLst>
        </c:ser>
        <c:ser>
          <c:idx val="3"/>
          <c:order val="3"/>
          <c:tx>
            <c:strRef>
              <c:f>'Transportation Emissions'!$B$69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Emissions'!$C$69:$AH$69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7785012.07424</c:v>
                </c:pt>
                <c:pt idx="3">
                  <c:v>7697540.2657160005</c:v>
                </c:pt>
                <c:pt idx="4">
                  <c:v>7610068.4571930002</c:v>
                </c:pt>
                <c:pt idx="5">
                  <c:v>7522596.1794330003</c:v>
                </c:pt>
                <c:pt idx="6">
                  <c:v>7435123.9016730003</c:v>
                </c:pt>
                <c:pt idx="7">
                  <c:v>7347652.0931489998</c:v>
                </c:pt>
                <c:pt idx="8">
                  <c:v>7260180.2846259996</c:v>
                </c:pt>
                <c:pt idx="9">
                  <c:v>7172708.0068650004</c:v>
                </c:pt>
                <c:pt idx="10">
                  <c:v>7085235.7291050004</c:v>
                </c:pt>
                <c:pt idx="11">
                  <c:v>6997763.9205820002</c:v>
                </c:pt>
                <c:pt idx="12">
                  <c:v>6910292.1120579997</c:v>
                </c:pt>
                <c:pt idx="13">
                  <c:v>6822819.8342979997</c:v>
                </c:pt>
                <c:pt idx="14">
                  <c:v>6735347.5565379998</c:v>
                </c:pt>
                <c:pt idx="15">
                  <c:v>6647875.7480149996</c:v>
                </c:pt>
                <c:pt idx="16">
                  <c:v>6560403.939491</c:v>
                </c:pt>
                <c:pt idx="17">
                  <c:v>6472931.6617310001</c:v>
                </c:pt>
                <c:pt idx="18">
                  <c:v>6385459.3839710001</c:v>
                </c:pt>
                <c:pt idx="19">
                  <c:v>6297987.5754469996</c:v>
                </c:pt>
                <c:pt idx="20">
                  <c:v>6297987.5754469996</c:v>
                </c:pt>
                <c:pt idx="21">
                  <c:v>6297987.5754469996</c:v>
                </c:pt>
                <c:pt idx="22">
                  <c:v>6297987.5754469996</c:v>
                </c:pt>
                <c:pt idx="23">
                  <c:v>6297987.5754469996</c:v>
                </c:pt>
                <c:pt idx="24">
                  <c:v>6297987.5754469996</c:v>
                </c:pt>
                <c:pt idx="25">
                  <c:v>6297987.5754469996</c:v>
                </c:pt>
                <c:pt idx="26">
                  <c:v>6297987.5754469996</c:v>
                </c:pt>
                <c:pt idx="27">
                  <c:v>6297987.5754469996</c:v>
                </c:pt>
                <c:pt idx="28">
                  <c:v>6297987.5754469996</c:v>
                </c:pt>
                <c:pt idx="29">
                  <c:v>6297987.5754469996</c:v>
                </c:pt>
                <c:pt idx="30">
                  <c:v>6297987.5754469996</c:v>
                </c:pt>
                <c:pt idx="3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E8-4536-BB51-FE66A9C3F8E6}"/>
            </c:ext>
          </c:extLst>
        </c:ser>
        <c:ser>
          <c:idx val="4"/>
          <c:order val="4"/>
          <c:tx>
            <c:strRef>
              <c:f>'Transportation Emissions'!$B$73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Emissions'!$C$73:$AH$73</c:f>
              <c:numCache>
                <c:formatCode>General</c:formatCode>
                <c:ptCount val="32"/>
                <c:pt idx="0">
                  <c:v>5718148.28773</c:v>
                </c:pt>
                <c:pt idx="1">
                  <c:v>5718148.28773</c:v>
                </c:pt>
                <c:pt idx="2">
                  <c:v>5654613.1401279997</c:v>
                </c:pt>
                <c:pt idx="3">
                  <c:v>5591078.333354</c:v>
                </c:pt>
                <c:pt idx="4">
                  <c:v>5527543.5265809996</c:v>
                </c:pt>
                <c:pt idx="5">
                  <c:v>5464008.3789790003</c:v>
                </c:pt>
                <c:pt idx="6">
                  <c:v>5400473.231377</c:v>
                </c:pt>
                <c:pt idx="7">
                  <c:v>5336938.4246030003</c:v>
                </c:pt>
                <c:pt idx="8">
                  <c:v>5273403.6178299999</c:v>
                </c:pt>
                <c:pt idx="9">
                  <c:v>5209868.4702279996</c:v>
                </c:pt>
                <c:pt idx="10">
                  <c:v>5146333.3226260003</c:v>
                </c:pt>
                <c:pt idx="11">
                  <c:v>5082798.5158519996</c:v>
                </c:pt>
                <c:pt idx="12">
                  <c:v>5019263.7090779999</c:v>
                </c:pt>
                <c:pt idx="13">
                  <c:v>4955728.5614759997</c:v>
                </c:pt>
                <c:pt idx="14">
                  <c:v>4892193.4138749996</c:v>
                </c:pt>
                <c:pt idx="15">
                  <c:v>4828658.6071009999</c:v>
                </c:pt>
                <c:pt idx="16">
                  <c:v>4765123.8003270002</c:v>
                </c:pt>
                <c:pt idx="17">
                  <c:v>4701588.6527249999</c:v>
                </c:pt>
                <c:pt idx="18">
                  <c:v>4638053.5051229997</c:v>
                </c:pt>
                <c:pt idx="19">
                  <c:v>4574518.6983500002</c:v>
                </c:pt>
                <c:pt idx="20">
                  <c:v>4574518.6983500002</c:v>
                </c:pt>
                <c:pt idx="21">
                  <c:v>4574518.6983500002</c:v>
                </c:pt>
                <c:pt idx="22">
                  <c:v>4574518.6983500002</c:v>
                </c:pt>
                <c:pt idx="23">
                  <c:v>4574518.6983500002</c:v>
                </c:pt>
                <c:pt idx="24">
                  <c:v>4574518.6983500002</c:v>
                </c:pt>
                <c:pt idx="25">
                  <c:v>4574518.6983500002</c:v>
                </c:pt>
                <c:pt idx="26">
                  <c:v>4574518.6983500002</c:v>
                </c:pt>
                <c:pt idx="27">
                  <c:v>4574518.6983500002</c:v>
                </c:pt>
                <c:pt idx="28">
                  <c:v>4574518.6983500002</c:v>
                </c:pt>
                <c:pt idx="29">
                  <c:v>4574518.6983500002</c:v>
                </c:pt>
                <c:pt idx="30">
                  <c:v>4574518.6983500002</c:v>
                </c:pt>
                <c:pt idx="31">
                  <c:v>4574518.6983500002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E8-4536-BB51-FE66A9C3F8E6}"/>
            </c:ext>
          </c:extLst>
        </c:ser>
        <c:ser>
          <c:idx val="5"/>
          <c:order val="5"/>
          <c:tx>
            <c:strRef>
              <c:f>'Transportation Emissions'!$B$75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Emissions'!$C$75:$AH$75</c:f>
              <c:numCache>
                <c:formatCode>General</c:formatCode>
                <c:ptCount val="32"/>
                <c:pt idx="0">
                  <c:v>284513.37434799998</c:v>
                </c:pt>
                <c:pt idx="1">
                  <c:v>284515.48557399999</c:v>
                </c:pt>
                <c:pt idx="2">
                  <c:v>281406.41099499998</c:v>
                </c:pt>
                <c:pt idx="3">
                  <c:v>278289.83292199997</c:v>
                </c:pt>
                <c:pt idx="4">
                  <c:v>263489.465944</c:v>
                </c:pt>
                <c:pt idx="5">
                  <c:v>248948.396806</c:v>
                </c:pt>
                <c:pt idx="6">
                  <c:v>233692.801377</c:v>
                </c:pt>
                <c:pt idx="7">
                  <c:v>219711.67969200001</c:v>
                </c:pt>
                <c:pt idx="8">
                  <c:v>206002.34601499999</c:v>
                </c:pt>
                <c:pt idx="9">
                  <c:v>192558.16649599999</c:v>
                </c:pt>
                <c:pt idx="10">
                  <c:v>179376.781303</c:v>
                </c:pt>
                <c:pt idx="11">
                  <c:v>166467.63026999999</c:v>
                </c:pt>
                <c:pt idx="12">
                  <c:v>159439.16974000001</c:v>
                </c:pt>
                <c:pt idx="13">
                  <c:v>152534.52648299999</c:v>
                </c:pt>
                <c:pt idx="14">
                  <c:v>145753.097282</c:v>
                </c:pt>
                <c:pt idx="15">
                  <c:v>139096.487788</c:v>
                </c:pt>
                <c:pt idx="16">
                  <c:v>132565.71888100001</c:v>
                </c:pt>
                <c:pt idx="17">
                  <c:v>126160.09806</c:v>
                </c:pt>
                <c:pt idx="18">
                  <c:v>119880.1882</c:v>
                </c:pt>
                <c:pt idx="19">
                  <c:v>113726.08846899999</c:v>
                </c:pt>
                <c:pt idx="20">
                  <c:v>109189.845898</c:v>
                </c:pt>
                <c:pt idx="21">
                  <c:v>104653.994255</c:v>
                </c:pt>
                <c:pt idx="22">
                  <c:v>96042.340062999996</c:v>
                </c:pt>
                <c:pt idx="23">
                  <c:v>87430.614556999994</c:v>
                </c:pt>
                <c:pt idx="24">
                  <c:v>78818.230356</c:v>
                </c:pt>
                <c:pt idx="25">
                  <c:v>70204.669301999995</c:v>
                </c:pt>
                <c:pt idx="26">
                  <c:v>61589.004380000013</c:v>
                </c:pt>
                <c:pt idx="27">
                  <c:v>52984.478172000003</c:v>
                </c:pt>
                <c:pt idx="28">
                  <c:v>44377.927698</c:v>
                </c:pt>
                <c:pt idx="29">
                  <c:v>35769.534778000001</c:v>
                </c:pt>
                <c:pt idx="30">
                  <c:v>27159.864591000001</c:v>
                </c:pt>
                <c:pt idx="31">
                  <c:v>18549.080391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E8-4536-BB51-FE66A9C3F8E6}"/>
            </c:ext>
          </c:extLst>
        </c:ser>
        <c:ser>
          <c:idx val="6"/>
          <c:order val="6"/>
          <c:tx>
            <c:strRef>
              <c:f>'Transportation Emissions'!$B$74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Emissions'!$C$74:$AH$74</c:f>
              <c:numCache>
                <c:formatCode>General</c:formatCode>
                <c:ptCount val="32"/>
                <c:pt idx="0">
                  <c:v>18225.297460000002</c:v>
                </c:pt>
                <c:pt idx="1">
                  <c:v>18204.132846</c:v>
                </c:pt>
                <c:pt idx="2">
                  <c:v>18039.620961000001</c:v>
                </c:pt>
                <c:pt idx="3">
                  <c:v>17871.570812999998</c:v>
                </c:pt>
                <c:pt idx="4">
                  <c:v>17592.274362</c:v>
                </c:pt>
                <c:pt idx="5">
                  <c:v>17302.412897999999</c:v>
                </c:pt>
                <c:pt idx="6">
                  <c:v>15256.605054</c:v>
                </c:pt>
                <c:pt idx="7">
                  <c:v>15017.244557</c:v>
                </c:pt>
                <c:pt idx="8">
                  <c:v>14781.492335000001</c:v>
                </c:pt>
                <c:pt idx="9">
                  <c:v>14545.969791</c:v>
                </c:pt>
                <c:pt idx="10">
                  <c:v>14307.115137999999</c:v>
                </c:pt>
                <c:pt idx="11">
                  <c:v>14080.675337999999</c:v>
                </c:pt>
                <c:pt idx="12">
                  <c:v>13280.687386</c:v>
                </c:pt>
                <c:pt idx="13">
                  <c:v>12495.068475</c:v>
                </c:pt>
                <c:pt idx="14">
                  <c:v>11724.069686000001</c:v>
                </c:pt>
                <c:pt idx="15">
                  <c:v>10967.812030999999</c:v>
                </c:pt>
                <c:pt idx="16">
                  <c:v>10226.725444</c:v>
                </c:pt>
                <c:pt idx="17">
                  <c:v>9499.7900580000005</c:v>
                </c:pt>
                <c:pt idx="18">
                  <c:v>8787.4049400000004</c:v>
                </c:pt>
                <c:pt idx="19">
                  <c:v>8089.4093069999999</c:v>
                </c:pt>
                <c:pt idx="20">
                  <c:v>7505.6351290000002</c:v>
                </c:pt>
                <c:pt idx="21">
                  <c:v>6921.0691749999996</c:v>
                </c:pt>
                <c:pt idx="22">
                  <c:v>6335.4450409999999</c:v>
                </c:pt>
                <c:pt idx="23">
                  <c:v>5749.0567170000004</c:v>
                </c:pt>
                <c:pt idx="24">
                  <c:v>5162.1073430000006</c:v>
                </c:pt>
                <c:pt idx="25">
                  <c:v>4574.9652539999997</c:v>
                </c:pt>
                <c:pt idx="26">
                  <c:v>3986.916127</c:v>
                </c:pt>
                <c:pt idx="27">
                  <c:v>3421.9830590000001</c:v>
                </c:pt>
                <c:pt idx="28">
                  <c:v>2857.1822440000001</c:v>
                </c:pt>
                <c:pt idx="29">
                  <c:v>2292.4827879999998</c:v>
                </c:pt>
                <c:pt idx="30">
                  <c:v>1728.082872</c:v>
                </c:pt>
                <c:pt idx="31">
                  <c:v>1163.2848260000001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E8-4536-BB51-FE66A9C3F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30001"/>
        <c:axId val="51130002"/>
      </c:areaChart>
      <c:catAx>
        <c:axId val="511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30002"/>
        <c:crosses val="autoZero"/>
        <c:auto val="1"/>
        <c:lblAlgn val="ctr"/>
        <c:lblOffset val="100"/>
        <c:tickLblSkip val="2"/>
        <c:noMultiLvlLbl val="0"/>
      </c:catAx>
      <c:valAx>
        <c:axId val="511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3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Emissions'!$B$71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Emissions'!$C$71,'Transportation Emissions'!$AH$71)</c:f>
              <c:numCache>
                <c:formatCode>General</c:formatCode>
                <c:ptCount val="2"/>
                <c:pt idx="0">
                  <c:v>18055216.234627001</c:v>
                </c:pt>
                <c:pt idx="1">
                  <c:v>507765.29715300002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3-461C-9C8F-23BD269E809C}"/>
            </c:ext>
          </c:extLst>
        </c:ser>
        <c:ser>
          <c:idx val="1"/>
          <c:order val="1"/>
          <c:tx>
            <c:strRef>
              <c:f>'Transportation Emissions'!$B$70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Emissions'!$C$70,'Transportation Emissions'!$AH$70)</c:f>
              <c:numCache>
                <c:formatCode>General</c:formatCode>
                <c:ptCount val="2"/>
                <c:pt idx="0">
                  <c:v>8422611.7638140004</c:v>
                </c:pt>
                <c:pt idx="1">
                  <c:v>62504.883042000001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3-461C-9C8F-23BD269E809C}"/>
            </c:ext>
          </c:extLst>
        </c:ser>
        <c:ser>
          <c:idx val="2"/>
          <c:order val="2"/>
          <c:tx>
            <c:strRef>
              <c:f>'Transportation Emissions'!$B$72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Emissions'!$C$72,'Transportation Emissions'!$AH$72)</c:f>
              <c:numCache>
                <c:formatCode>General</c:formatCode>
                <c:ptCount val="2"/>
                <c:pt idx="0">
                  <c:v>8031389.0061720004</c:v>
                </c:pt>
                <c:pt idx="1">
                  <c:v>74022.698285999999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F3-461C-9C8F-23BD269E809C}"/>
            </c:ext>
          </c:extLst>
        </c:ser>
        <c:ser>
          <c:idx val="3"/>
          <c:order val="3"/>
          <c:tx>
            <c:strRef>
              <c:f>'Transportation Emissions'!$B$69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Emissions'!$C$69,'Transportation Emissions'!$AH$69)</c:f>
              <c:numCache>
                <c:formatCode>General</c:formatCode>
                <c:ptCount val="2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F3-461C-9C8F-23BD269E809C}"/>
            </c:ext>
          </c:extLst>
        </c:ser>
        <c:ser>
          <c:idx val="4"/>
          <c:order val="4"/>
          <c:tx>
            <c:strRef>
              <c:f>'Transportation Emissions'!$B$73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Emissions'!$C$73,'Transportation Emissions'!$AH$73)</c:f>
              <c:numCache>
                <c:formatCode>General</c:formatCode>
                <c:ptCount val="2"/>
                <c:pt idx="0">
                  <c:v>5718148.28773</c:v>
                </c:pt>
                <c:pt idx="1">
                  <c:v>4574518.6983500002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F3-461C-9C8F-23BD269E809C}"/>
            </c:ext>
          </c:extLst>
        </c:ser>
        <c:ser>
          <c:idx val="5"/>
          <c:order val="5"/>
          <c:tx>
            <c:strRef>
              <c:f>'Transportation Emissions'!$B$75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Emissions'!$C$75,'Transportation Emissions'!$AH$75)</c:f>
              <c:numCache>
                <c:formatCode>General</c:formatCode>
                <c:ptCount val="2"/>
                <c:pt idx="0">
                  <c:v>284513.37434799998</c:v>
                </c:pt>
                <c:pt idx="1">
                  <c:v>18549.080391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F3-461C-9C8F-23BD269E809C}"/>
            </c:ext>
          </c:extLst>
        </c:ser>
        <c:ser>
          <c:idx val="6"/>
          <c:order val="6"/>
          <c:tx>
            <c:strRef>
              <c:f>'Transportation Emissions'!$B$74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Emissions'!$C$74,'Transportation Emissions'!$AH$74)</c:f>
              <c:numCache>
                <c:formatCode>General</c:formatCode>
                <c:ptCount val="2"/>
                <c:pt idx="0">
                  <c:v>18225.297460000002</c:v>
                </c:pt>
                <c:pt idx="1">
                  <c:v>1163.2848260000001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F3-461C-9C8F-23BD269E8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40001"/>
        <c:axId val="51140002"/>
      </c:barChart>
      <c:catAx>
        <c:axId val="511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40002"/>
        <c:crosses val="autoZero"/>
        <c:auto val="1"/>
        <c:lblAlgn val="ctr"/>
        <c:lblOffset val="100"/>
        <c:noMultiLvlLbl val="0"/>
      </c:catAx>
      <c:valAx>
        <c:axId val="511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4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Emissions'!$B$79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Emissions'!$C$79:$AH$79</c:f>
              <c:numCache>
                <c:formatCode>General</c:formatCode>
                <c:ptCount val="32"/>
                <c:pt idx="0">
                  <c:v>18055216.234627001</c:v>
                </c:pt>
                <c:pt idx="1">
                  <c:v>16650777.022087</c:v>
                </c:pt>
                <c:pt idx="2">
                  <c:v>16470332.006263001</c:v>
                </c:pt>
                <c:pt idx="3">
                  <c:v>16289048.907244001</c:v>
                </c:pt>
                <c:pt idx="4">
                  <c:v>16105521.828725999</c:v>
                </c:pt>
                <c:pt idx="5">
                  <c:v>15921437.271731</c:v>
                </c:pt>
                <c:pt idx="6">
                  <c:v>15752192.977568001</c:v>
                </c:pt>
                <c:pt idx="7">
                  <c:v>15520261.139407</c:v>
                </c:pt>
                <c:pt idx="8">
                  <c:v>15293502.878323</c:v>
                </c:pt>
                <c:pt idx="9">
                  <c:v>15097813.459256999</c:v>
                </c:pt>
                <c:pt idx="10">
                  <c:v>14933145.967815001</c:v>
                </c:pt>
                <c:pt idx="11">
                  <c:v>14802295.707105</c:v>
                </c:pt>
                <c:pt idx="12">
                  <c:v>14691722.445109</c:v>
                </c:pt>
                <c:pt idx="13">
                  <c:v>14610054.331537999</c:v>
                </c:pt>
                <c:pt idx="14">
                  <c:v>14551920.589063</c:v>
                </c:pt>
                <c:pt idx="15">
                  <c:v>14512746.135918999</c:v>
                </c:pt>
                <c:pt idx="16">
                  <c:v>14488217.821497001</c:v>
                </c:pt>
                <c:pt idx="17">
                  <c:v>14475862.677149</c:v>
                </c:pt>
                <c:pt idx="18">
                  <c:v>14474328.529792</c:v>
                </c:pt>
                <c:pt idx="19">
                  <c:v>14482183.84138</c:v>
                </c:pt>
                <c:pt idx="20">
                  <c:v>14498031.148010001</c:v>
                </c:pt>
                <c:pt idx="21">
                  <c:v>14520644.876801001</c:v>
                </c:pt>
                <c:pt idx="22">
                  <c:v>14541049.663315</c:v>
                </c:pt>
                <c:pt idx="23">
                  <c:v>14565802.943361999</c:v>
                </c:pt>
                <c:pt idx="24">
                  <c:v>14593961.278096</c:v>
                </c:pt>
                <c:pt idx="25">
                  <c:v>14624513.966226</c:v>
                </c:pt>
                <c:pt idx="26">
                  <c:v>14656582.300649</c:v>
                </c:pt>
                <c:pt idx="27">
                  <c:v>14694871.778936001</c:v>
                </c:pt>
                <c:pt idx="28">
                  <c:v>14733570.334649</c:v>
                </c:pt>
                <c:pt idx="29">
                  <c:v>14772439.258785</c:v>
                </c:pt>
                <c:pt idx="30">
                  <c:v>14811381.355799999</c:v>
                </c:pt>
                <c:pt idx="31">
                  <c:v>14850382.499908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5-4549-A56F-155CACCEA22B}"/>
            </c:ext>
          </c:extLst>
        </c:ser>
        <c:ser>
          <c:idx val="1"/>
          <c:order val="1"/>
          <c:tx>
            <c:strRef>
              <c:f>'Transportation Emissions'!$B$78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Emissions'!$C$78:$AH$78</c:f>
              <c:numCache>
                <c:formatCode>General</c:formatCode>
                <c:ptCount val="32"/>
                <c:pt idx="0">
                  <c:v>8422611.7638140004</c:v>
                </c:pt>
                <c:pt idx="1">
                  <c:v>8778773.6982010007</c:v>
                </c:pt>
                <c:pt idx="2">
                  <c:v>8736737.7303599995</c:v>
                </c:pt>
                <c:pt idx="3">
                  <c:v>8699129.3188300002</c:v>
                </c:pt>
                <c:pt idx="4">
                  <c:v>8630338.3221129999</c:v>
                </c:pt>
                <c:pt idx="5">
                  <c:v>8503260.182852</c:v>
                </c:pt>
                <c:pt idx="6">
                  <c:v>7805226.5847450001</c:v>
                </c:pt>
                <c:pt idx="7">
                  <c:v>7524366.4576679999</c:v>
                </c:pt>
                <c:pt idx="8">
                  <c:v>7183970.5866569998</c:v>
                </c:pt>
                <c:pt idx="9">
                  <c:v>6857599.7327129999</c:v>
                </c:pt>
                <c:pt idx="10">
                  <c:v>6573116.9403229998</c:v>
                </c:pt>
                <c:pt idx="11">
                  <c:v>6396954.418606</c:v>
                </c:pt>
                <c:pt idx="12">
                  <c:v>6346901.3934889995</c:v>
                </c:pt>
                <c:pt idx="13">
                  <c:v>6363780.6324519999</c:v>
                </c:pt>
                <c:pt idx="14">
                  <c:v>6402990.027245</c:v>
                </c:pt>
                <c:pt idx="15">
                  <c:v>6383585.8294799998</c:v>
                </c:pt>
                <c:pt idx="16">
                  <c:v>6437068.0164700001</c:v>
                </c:pt>
                <c:pt idx="17">
                  <c:v>6464030.9773260001</c:v>
                </c:pt>
                <c:pt idx="18">
                  <c:v>6476502.8870820003</c:v>
                </c:pt>
                <c:pt idx="19">
                  <c:v>6486492.61864</c:v>
                </c:pt>
                <c:pt idx="20">
                  <c:v>6504377.6115039997</c:v>
                </c:pt>
                <c:pt idx="21">
                  <c:v>6532189.375643</c:v>
                </c:pt>
                <c:pt idx="22">
                  <c:v>6551244.256914</c:v>
                </c:pt>
                <c:pt idx="23">
                  <c:v>6563706.0094569996</c:v>
                </c:pt>
                <c:pt idx="24">
                  <c:v>6572151.7008750001</c:v>
                </c:pt>
                <c:pt idx="25">
                  <c:v>6582129.319898</c:v>
                </c:pt>
                <c:pt idx="26">
                  <c:v>6597813.6749489997</c:v>
                </c:pt>
                <c:pt idx="27">
                  <c:v>6619207.286607</c:v>
                </c:pt>
                <c:pt idx="28">
                  <c:v>6651198.8326369999</c:v>
                </c:pt>
                <c:pt idx="29">
                  <c:v>6694972.2515120003</c:v>
                </c:pt>
                <c:pt idx="30">
                  <c:v>6749548.576626</c:v>
                </c:pt>
                <c:pt idx="31">
                  <c:v>6809417.2411580002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5-4549-A56F-155CACCEA22B}"/>
            </c:ext>
          </c:extLst>
        </c:ser>
        <c:ser>
          <c:idx val="2"/>
          <c:order val="2"/>
          <c:tx>
            <c:strRef>
              <c:f>'Transportation Emissions'!$B$80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Emissions'!$C$80:$AH$80</c:f>
              <c:numCache>
                <c:formatCode>General</c:formatCode>
                <c:ptCount val="32"/>
                <c:pt idx="0">
                  <c:v>8031389.0061720004</c:v>
                </c:pt>
                <c:pt idx="1">
                  <c:v>8504078.2528760005</c:v>
                </c:pt>
                <c:pt idx="2">
                  <c:v>8730085.4121850003</c:v>
                </c:pt>
                <c:pt idx="3">
                  <c:v>8714901.3584180009</c:v>
                </c:pt>
                <c:pt idx="4">
                  <c:v>8806361.0087320004</c:v>
                </c:pt>
                <c:pt idx="5">
                  <c:v>8720716.9756930005</c:v>
                </c:pt>
                <c:pt idx="6">
                  <c:v>8380343.2060219999</c:v>
                </c:pt>
                <c:pt idx="7">
                  <c:v>8213199.9293860001</c:v>
                </c:pt>
                <c:pt idx="8">
                  <c:v>8038272.3429389996</c:v>
                </c:pt>
                <c:pt idx="9">
                  <c:v>7823998.2607280007</c:v>
                </c:pt>
                <c:pt idx="10">
                  <c:v>7626627.3135860004</c:v>
                </c:pt>
                <c:pt idx="11">
                  <c:v>7546833.7330689998</c:v>
                </c:pt>
                <c:pt idx="12">
                  <c:v>7486993.4234739998</c:v>
                </c:pt>
                <c:pt idx="13">
                  <c:v>7486498.9176160004</c:v>
                </c:pt>
                <c:pt idx="14">
                  <c:v>7514266.4192660004</c:v>
                </c:pt>
                <c:pt idx="15">
                  <c:v>7463759.9188250015</c:v>
                </c:pt>
                <c:pt idx="16">
                  <c:v>7491828.2077170014</c:v>
                </c:pt>
                <c:pt idx="17">
                  <c:v>7491926.6601630002</c:v>
                </c:pt>
                <c:pt idx="18">
                  <c:v>7494175.1062119994</c:v>
                </c:pt>
                <c:pt idx="19">
                  <c:v>7502536.6476179995</c:v>
                </c:pt>
                <c:pt idx="20">
                  <c:v>7526358.3631459996</c:v>
                </c:pt>
                <c:pt idx="21">
                  <c:v>7561185.3336140001</c:v>
                </c:pt>
                <c:pt idx="22">
                  <c:v>7588016.3379840003</c:v>
                </c:pt>
                <c:pt idx="23">
                  <c:v>7608601.932174</c:v>
                </c:pt>
                <c:pt idx="24">
                  <c:v>7625365.4457379999</c:v>
                </c:pt>
                <c:pt idx="25">
                  <c:v>7642984.3626650004</c:v>
                </c:pt>
                <c:pt idx="26">
                  <c:v>7664992.1957679996</c:v>
                </c:pt>
                <c:pt idx="27">
                  <c:v>7693528.1851089997</c:v>
                </c:pt>
                <c:pt idx="28">
                  <c:v>7732712.9855819996</c:v>
                </c:pt>
                <c:pt idx="29">
                  <c:v>7782738.7760419995</c:v>
                </c:pt>
                <c:pt idx="30">
                  <c:v>7842250.0836570002</c:v>
                </c:pt>
                <c:pt idx="31">
                  <c:v>7906286.9424409997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5-4549-A56F-155CACCEA22B}"/>
            </c:ext>
          </c:extLst>
        </c:ser>
        <c:ser>
          <c:idx val="3"/>
          <c:order val="3"/>
          <c:tx>
            <c:strRef>
              <c:f>'Transportation Emissions'!$B$77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Emissions'!$C$77:$AH$77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7872484.352</c:v>
                </c:pt>
                <c:pt idx="3">
                  <c:v>7872484.352</c:v>
                </c:pt>
                <c:pt idx="4">
                  <c:v>7872484.352</c:v>
                </c:pt>
                <c:pt idx="5">
                  <c:v>7872484.352</c:v>
                </c:pt>
                <c:pt idx="6">
                  <c:v>7872484.352</c:v>
                </c:pt>
                <c:pt idx="7">
                  <c:v>7872484.352</c:v>
                </c:pt>
                <c:pt idx="8">
                  <c:v>7872484.352</c:v>
                </c:pt>
                <c:pt idx="9">
                  <c:v>7872484.352</c:v>
                </c:pt>
                <c:pt idx="10">
                  <c:v>7872484.352</c:v>
                </c:pt>
                <c:pt idx="11">
                  <c:v>7872484.352</c:v>
                </c:pt>
                <c:pt idx="12">
                  <c:v>7872484.352</c:v>
                </c:pt>
                <c:pt idx="13">
                  <c:v>7872484.352</c:v>
                </c:pt>
                <c:pt idx="14">
                  <c:v>7872484.352</c:v>
                </c:pt>
                <c:pt idx="15">
                  <c:v>7872484.352</c:v>
                </c:pt>
                <c:pt idx="16">
                  <c:v>7872484.352</c:v>
                </c:pt>
                <c:pt idx="17">
                  <c:v>7872484.352</c:v>
                </c:pt>
                <c:pt idx="18">
                  <c:v>7872484.352</c:v>
                </c:pt>
                <c:pt idx="19">
                  <c:v>7872484.352</c:v>
                </c:pt>
                <c:pt idx="20">
                  <c:v>7872484.352</c:v>
                </c:pt>
                <c:pt idx="21">
                  <c:v>7872484.352</c:v>
                </c:pt>
                <c:pt idx="22">
                  <c:v>7872484.352</c:v>
                </c:pt>
                <c:pt idx="23">
                  <c:v>7872484.352</c:v>
                </c:pt>
                <c:pt idx="24">
                  <c:v>7872484.352</c:v>
                </c:pt>
                <c:pt idx="25">
                  <c:v>7872484.352</c:v>
                </c:pt>
                <c:pt idx="26">
                  <c:v>7872484.352</c:v>
                </c:pt>
                <c:pt idx="27">
                  <c:v>7872484.352</c:v>
                </c:pt>
                <c:pt idx="28">
                  <c:v>7872484.352</c:v>
                </c:pt>
                <c:pt idx="29">
                  <c:v>7872484.352</c:v>
                </c:pt>
                <c:pt idx="30">
                  <c:v>7872484.352</c:v>
                </c:pt>
                <c:pt idx="31">
                  <c:v>7872484.352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5-4549-A56F-155CACCEA22B}"/>
            </c:ext>
          </c:extLst>
        </c:ser>
        <c:ser>
          <c:idx val="4"/>
          <c:order val="4"/>
          <c:tx>
            <c:strRef>
              <c:f>'Transportation Emissions'!$B$81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Emissions'!$C$81:$AH$81</c:f>
              <c:numCache>
                <c:formatCode>General</c:formatCode>
                <c:ptCount val="32"/>
                <c:pt idx="0">
                  <c:v>5718148.28773</c:v>
                </c:pt>
                <c:pt idx="1">
                  <c:v>5718148.28773</c:v>
                </c:pt>
                <c:pt idx="2">
                  <c:v>5718148.28773</c:v>
                </c:pt>
                <c:pt idx="3">
                  <c:v>5718148.28773</c:v>
                </c:pt>
                <c:pt idx="4">
                  <c:v>5718148.28773</c:v>
                </c:pt>
                <c:pt idx="5">
                  <c:v>5718148.28773</c:v>
                </c:pt>
                <c:pt idx="6">
                  <c:v>5718148.28773</c:v>
                </c:pt>
                <c:pt idx="7">
                  <c:v>5718148.28773</c:v>
                </c:pt>
                <c:pt idx="8">
                  <c:v>5718148.28773</c:v>
                </c:pt>
                <c:pt idx="9">
                  <c:v>5718148.28773</c:v>
                </c:pt>
                <c:pt idx="10">
                  <c:v>5718148.28773</c:v>
                </c:pt>
                <c:pt idx="11">
                  <c:v>5718148.28773</c:v>
                </c:pt>
                <c:pt idx="12">
                  <c:v>5718148.28773</c:v>
                </c:pt>
                <c:pt idx="13">
                  <c:v>5718148.28773</c:v>
                </c:pt>
                <c:pt idx="14">
                  <c:v>5718148.28773</c:v>
                </c:pt>
                <c:pt idx="15">
                  <c:v>5718148.28773</c:v>
                </c:pt>
                <c:pt idx="16">
                  <c:v>5718148.28773</c:v>
                </c:pt>
                <c:pt idx="17">
                  <c:v>5718148.28773</c:v>
                </c:pt>
                <c:pt idx="18">
                  <c:v>5718148.28773</c:v>
                </c:pt>
                <c:pt idx="19">
                  <c:v>5718148.28773</c:v>
                </c:pt>
                <c:pt idx="20">
                  <c:v>5718148.28773</c:v>
                </c:pt>
                <c:pt idx="21">
                  <c:v>5718148.28773</c:v>
                </c:pt>
                <c:pt idx="22">
                  <c:v>5718148.28773</c:v>
                </c:pt>
                <c:pt idx="23">
                  <c:v>5718148.28773</c:v>
                </c:pt>
                <c:pt idx="24">
                  <c:v>5718148.28773</c:v>
                </c:pt>
                <c:pt idx="25">
                  <c:v>5718148.28773</c:v>
                </c:pt>
                <c:pt idx="26">
                  <c:v>5718148.28773</c:v>
                </c:pt>
                <c:pt idx="27">
                  <c:v>5718148.28773</c:v>
                </c:pt>
                <c:pt idx="28">
                  <c:v>5718148.28773</c:v>
                </c:pt>
                <c:pt idx="29">
                  <c:v>5718148.28773</c:v>
                </c:pt>
                <c:pt idx="30">
                  <c:v>5718148.28773</c:v>
                </c:pt>
                <c:pt idx="31">
                  <c:v>5718148.28773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45-4549-A56F-155CACCEA22B}"/>
            </c:ext>
          </c:extLst>
        </c:ser>
        <c:ser>
          <c:idx val="5"/>
          <c:order val="5"/>
          <c:tx>
            <c:strRef>
              <c:f>'Transportation Emissions'!$B$83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Emissions'!$C$83:$AH$83</c:f>
              <c:numCache>
                <c:formatCode>General</c:formatCode>
                <c:ptCount val="32"/>
                <c:pt idx="0">
                  <c:v>284513.37434799998</c:v>
                </c:pt>
                <c:pt idx="1">
                  <c:v>284533.27694700001</c:v>
                </c:pt>
                <c:pt idx="2">
                  <c:v>284556.357479</c:v>
                </c:pt>
                <c:pt idx="3">
                  <c:v>284575.56913399999</c:v>
                </c:pt>
                <c:pt idx="4">
                  <c:v>284597.79778999998</c:v>
                </c:pt>
                <c:pt idx="5">
                  <c:v>284619.39262100001</c:v>
                </c:pt>
                <c:pt idx="6">
                  <c:v>284658.57299000002</c:v>
                </c:pt>
                <c:pt idx="7">
                  <c:v>284674.86863699998</c:v>
                </c:pt>
                <c:pt idx="8">
                  <c:v>284696.66275999998</c:v>
                </c:pt>
                <c:pt idx="9">
                  <c:v>284717.75988000003</c:v>
                </c:pt>
                <c:pt idx="10">
                  <c:v>284736.51324200002</c:v>
                </c:pt>
                <c:pt idx="11">
                  <c:v>284752.91263899999</c:v>
                </c:pt>
                <c:pt idx="12">
                  <c:v>284764.61014</c:v>
                </c:pt>
                <c:pt idx="13">
                  <c:v>284774.318241</c:v>
                </c:pt>
                <c:pt idx="14">
                  <c:v>284781.19726699998</c:v>
                </c:pt>
                <c:pt idx="15">
                  <c:v>284786.62808300002</c:v>
                </c:pt>
                <c:pt idx="16">
                  <c:v>284792.45098899998</c:v>
                </c:pt>
                <c:pt idx="17">
                  <c:v>284796.833018</c:v>
                </c:pt>
                <c:pt idx="18">
                  <c:v>284800.767804</c:v>
                </c:pt>
                <c:pt idx="19">
                  <c:v>284804.32811200002</c:v>
                </c:pt>
                <c:pt idx="20">
                  <c:v>284807.77832600003</c:v>
                </c:pt>
                <c:pt idx="21">
                  <c:v>284811.165775</c:v>
                </c:pt>
                <c:pt idx="22">
                  <c:v>284814.52170099999</c:v>
                </c:pt>
                <c:pt idx="23">
                  <c:v>284817.77755699999</c:v>
                </c:pt>
                <c:pt idx="24">
                  <c:v>284820.97682500002</c:v>
                </c:pt>
                <c:pt idx="25">
                  <c:v>284824.146534</c:v>
                </c:pt>
                <c:pt idx="26">
                  <c:v>284827.336947</c:v>
                </c:pt>
                <c:pt idx="27">
                  <c:v>284830.40043899999</c:v>
                </c:pt>
                <c:pt idx="28">
                  <c:v>284833.54696200002</c:v>
                </c:pt>
                <c:pt idx="29">
                  <c:v>284836.772589</c:v>
                </c:pt>
                <c:pt idx="30">
                  <c:v>284840.06544400001</c:v>
                </c:pt>
                <c:pt idx="31">
                  <c:v>284843.37226199999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45-4549-A56F-155CACCEA22B}"/>
            </c:ext>
          </c:extLst>
        </c:ser>
        <c:ser>
          <c:idx val="6"/>
          <c:order val="6"/>
          <c:tx>
            <c:strRef>
              <c:f>'Transportation Emissions'!$B$82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cat>
            <c:numRef>
              <c:f>'Transportation Emissions'!$C$44:$AH$44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Emissions'!$C$82:$AH$82</c:f>
              <c:numCache>
                <c:formatCode>General</c:formatCode>
                <c:ptCount val="32"/>
                <c:pt idx="0">
                  <c:v>18225.297460000002</c:v>
                </c:pt>
                <c:pt idx="1">
                  <c:v>18235.162090000002</c:v>
                </c:pt>
                <c:pt idx="2">
                  <c:v>18252.152161999998</c:v>
                </c:pt>
                <c:pt idx="3">
                  <c:v>18271.964696999999</c:v>
                </c:pt>
                <c:pt idx="4">
                  <c:v>18292.051013</c:v>
                </c:pt>
                <c:pt idx="5">
                  <c:v>18311.867883999999</c:v>
                </c:pt>
                <c:pt idx="6">
                  <c:v>18332.535739999999</c:v>
                </c:pt>
                <c:pt idx="7">
                  <c:v>18342.045709999999</c:v>
                </c:pt>
                <c:pt idx="8">
                  <c:v>18351.655235999999</c:v>
                </c:pt>
                <c:pt idx="9">
                  <c:v>18360.95679</c:v>
                </c:pt>
                <c:pt idx="10">
                  <c:v>18369.889579999999</c:v>
                </c:pt>
                <c:pt idx="11">
                  <c:v>18378.555187000002</c:v>
                </c:pt>
                <c:pt idx="12">
                  <c:v>18385.033748000002</c:v>
                </c:pt>
                <c:pt idx="13">
                  <c:v>18391.381243</c:v>
                </c:pt>
                <c:pt idx="14">
                  <c:v>18398.174079</c:v>
                </c:pt>
                <c:pt idx="15">
                  <c:v>18404.911499999998</c:v>
                </c:pt>
                <c:pt idx="16">
                  <c:v>18411.799808</c:v>
                </c:pt>
                <c:pt idx="17">
                  <c:v>18417.449106</c:v>
                </c:pt>
                <c:pt idx="18">
                  <c:v>18423.055859</c:v>
                </c:pt>
                <c:pt idx="19">
                  <c:v>18428.642731</c:v>
                </c:pt>
                <c:pt idx="20">
                  <c:v>18434.229721</c:v>
                </c:pt>
                <c:pt idx="21">
                  <c:v>18439.806466000002</c:v>
                </c:pt>
                <c:pt idx="22">
                  <c:v>18445.506045999999</c:v>
                </c:pt>
                <c:pt idx="23">
                  <c:v>18451.151443999999</c:v>
                </c:pt>
                <c:pt idx="24">
                  <c:v>18456.746793999999</c:v>
                </c:pt>
                <c:pt idx="25">
                  <c:v>18462.305318999999</c:v>
                </c:pt>
                <c:pt idx="26">
                  <c:v>18467.859002000001</c:v>
                </c:pt>
                <c:pt idx="27">
                  <c:v>18473.129121000002</c:v>
                </c:pt>
                <c:pt idx="28">
                  <c:v>18478.414957000001</c:v>
                </c:pt>
                <c:pt idx="29">
                  <c:v>18483.710403000001</c:v>
                </c:pt>
                <c:pt idx="30">
                  <c:v>18489.005819000002</c:v>
                </c:pt>
                <c:pt idx="31">
                  <c:v>18494.280942000001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45-4549-A56F-155CACCEA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50001"/>
        <c:axId val="51150002"/>
      </c:areaChart>
      <c:catAx>
        <c:axId val="511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50002"/>
        <c:crosses val="autoZero"/>
        <c:auto val="1"/>
        <c:lblAlgn val="ctr"/>
        <c:lblOffset val="100"/>
        <c:tickLblSkip val="2"/>
        <c:noMultiLvlLbl val="0"/>
      </c:catAx>
      <c:valAx>
        <c:axId val="511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5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Emissions'!$B$79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Emissions'!$C$79,'Transportation Emissions'!$AH$79)</c:f>
              <c:numCache>
                <c:formatCode>General</c:formatCode>
                <c:ptCount val="2"/>
                <c:pt idx="0">
                  <c:v>18055216.234627001</c:v>
                </c:pt>
                <c:pt idx="1">
                  <c:v>14850382.499908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8-45F2-B383-5A386C3EEA05}"/>
            </c:ext>
          </c:extLst>
        </c:ser>
        <c:ser>
          <c:idx val="1"/>
          <c:order val="1"/>
          <c:tx>
            <c:strRef>
              <c:f>'Transportation Emissions'!$B$78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Emissions'!$C$78,'Transportation Emissions'!$AH$78)</c:f>
              <c:numCache>
                <c:formatCode>General</c:formatCode>
                <c:ptCount val="2"/>
                <c:pt idx="0">
                  <c:v>8422611.7638140004</c:v>
                </c:pt>
                <c:pt idx="1">
                  <c:v>6809417.2411580002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8-45F2-B383-5A386C3EEA05}"/>
            </c:ext>
          </c:extLst>
        </c:ser>
        <c:ser>
          <c:idx val="2"/>
          <c:order val="2"/>
          <c:tx>
            <c:strRef>
              <c:f>'Transportation Emissions'!$B$80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Emissions'!$C$80,'Transportation Emissions'!$AH$80)</c:f>
              <c:numCache>
                <c:formatCode>General</c:formatCode>
                <c:ptCount val="2"/>
                <c:pt idx="0">
                  <c:v>8031389.0061720004</c:v>
                </c:pt>
                <c:pt idx="1">
                  <c:v>7906286.9424409997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8-45F2-B383-5A386C3EEA05}"/>
            </c:ext>
          </c:extLst>
        </c:ser>
        <c:ser>
          <c:idx val="3"/>
          <c:order val="3"/>
          <c:tx>
            <c:strRef>
              <c:f>'Transportation Emissions'!$B$77</c:f>
              <c:strCache>
                <c:ptCount val="1"/>
                <c:pt idx="0">
                  <c:v>Aviation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Emissions'!$C$77,'Transportation Emissions'!$AH$77)</c:f>
              <c:numCache>
                <c:formatCode>General</c:formatCode>
                <c:ptCount val="2"/>
                <c:pt idx="0">
                  <c:v>7872484.352</c:v>
                </c:pt>
                <c:pt idx="1">
                  <c:v>7872484.352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D8-45F2-B383-5A386C3EEA05}"/>
            </c:ext>
          </c:extLst>
        </c:ser>
        <c:ser>
          <c:idx val="4"/>
          <c:order val="4"/>
          <c:tx>
            <c:strRef>
              <c:f>'Transportation Emissions'!$B$81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rgbClr val="EF8DB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Emissions'!$C$81,'Transportation Emissions'!$AH$81)</c:f>
              <c:numCache>
                <c:formatCode>General</c:formatCode>
                <c:ptCount val="2"/>
                <c:pt idx="0">
                  <c:v>5718148.28773</c:v>
                </c:pt>
                <c:pt idx="1">
                  <c:v>5718148.28773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8-45F2-B383-5A386C3EEA05}"/>
            </c:ext>
          </c:extLst>
        </c:ser>
        <c:ser>
          <c:idx val="5"/>
          <c:order val="5"/>
          <c:tx>
            <c:strRef>
              <c:f>'Transportation Emissions'!$B$83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Emissions'!$C$83,'Transportation Emissions'!$AH$83)</c:f>
              <c:numCache>
                <c:formatCode>General</c:formatCode>
                <c:ptCount val="2"/>
                <c:pt idx="0">
                  <c:v>284513.37434799998</c:v>
                </c:pt>
                <c:pt idx="1">
                  <c:v>284843.37226199999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D8-45F2-B383-5A386C3EEA05}"/>
            </c:ext>
          </c:extLst>
        </c:ser>
        <c:ser>
          <c:idx val="6"/>
          <c:order val="6"/>
          <c:tx>
            <c:strRef>
              <c:f>'Transportation Emissions'!$B$82</c:f>
              <c:strCache>
                <c:ptCount val="1"/>
                <c:pt idx="0">
                  <c:v>Rail</c:v>
                </c:pt>
              </c:strCache>
            </c:strRef>
          </c:tx>
          <c:spPr>
            <a:solidFill>
              <a:srgbClr val="9F3259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Emissions'!$C$44,'Transportation Emissions'!$AH$44)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Emissions'!$C$82,'Transportation Emissions'!$AH$82)</c:f>
              <c:numCache>
                <c:formatCode>General</c:formatCode>
                <c:ptCount val="2"/>
                <c:pt idx="0">
                  <c:v>18225.297460000002</c:v>
                </c:pt>
                <c:pt idx="1">
                  <c:v>18494.280942000001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D8-45F2-B383-5A386C3EE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60001"/>
        <c:axId val="51160002"/>
      </c:barChart>
      <c:catAx>
        <c:axId val="511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60002"/>
        <c:crosses val="autoZero"/>
        <c:auto val="1"/>
        <c:lblAlgn val="ctr"/>
        <c:lblOffset val="100"/>
        <c:noMultiLvlLbl val="0"/>
      </c:catAx>
      <c:valAx>
        <c:axId val="511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6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Emissions'!$D$87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Emissions'!$B$88:$C$101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Emissions'!$D$88:$D$101</c:f>
              <c:numCache>
                <c:formatCode>General</c:formatCode>
                <c:ptCount val="14"/>
                <c:pt idx="2">
                  <c:v>155602.57332600001</c:v>
                </c:pt>
                <c:pt idx="3">
                  <c:v>241.786316</c:v>
                </c:pt>
                <c:pt idx="4">
                  <c:v>9523683.0892169997</c:v>
                </c:pt>
                <c:pt idx="5">
                  <c:v>0</c:v>
                </c:pt>
                <c:pt idx="6">
                  <c:v>565250.42151799996</c:v>
                </c:pt>
                <c:pt idx="7">
                  <c:v>1163.2933459999999</c:v>
                </c:pt>
                <c:pt idx="8">
                  <c:v>5718148.28773</c:v>
                </c:pt>
                <c:pt idx="9">
                  <c:v>2287259.3491750001</c:v>
                </c:pt>
                <c:pt idx="10">
                  <c:v>15342.180034999999</c:v>
                </c:pt>
                <c:pt idx="11">
                  <c:v>12273.743837</c:v>
                </c:pt>
                <c:pt idx="12">
                  <c:v>235760.713521</c:v>
                </c:pt>
                <c:pt idx="13">
                  <c:v>188512.97415299999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4-427F-9EA2-DC8647A4A516}"/>
            </c:ext>
          </c:extLst>
        </c:ser>
        <c:ser>
          <c:idx val="1"/>
          <c:order val="1"/>
          <c:tx>
            <c:strRef>
              <c:f>'Transportation Emissions'!$E$87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Emissions'!$B$88:$C$101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Emissions'!$E$88:$E$101</c:f>
              <c:numCache>
                <c:formatCode>General</c:formatCode>
                <c:ptCount val="14"/>
                <c:pt idx="2">
                  <c:v>8261519.8331279997</c:v>
                </c:pt>
                <c:pt idx="3">
                  <c:v>5204.1842489999999</c:v>
                </c:pt>
                <c:pt idx="4">
                  <c:v>8531533.1454099994</c:v>
                </c:pt>
                <c:pt idx="5">
                  <c:v>0</c:v>
                </c:pt>
                <c:pt idx="6">
                  <c:v>7457037.3025010005</c:v>
                </c:pt>
                <c:pt idx="7">
                  <c:v>6121.6190360000001</c:v>
                </c:pt>
                <c:pt idx="12">
                  <c:v>36218.610944</c:v>
                </c:pt>
                <c:pt idx="13">
                  <c:v>29246.655423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54-427F-9EA2-DC8647A4A516}"/>
            </c:ext>
          </c:extLst>
        </c:ser>
        <c:ser>
          <c:idx val="2"/>
          <c:order val="2"/>
          <c:tx>
            <c:strRef>
              <c:f>'Transportation Emissions'!$F$87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Emissions'!$B$88:$C$101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Emissions'!$F$88:$F$101</c:f>
              <c:numCache>
                <c:formatCode>General</c:formatCode>
                <c:ptCount val="14"/>
                <c:pt idx="2">
                  <c:v>5489.35736</c:v>
                </c:pt>
                <c:pt idx="3">
                  <c:v>41322.186432000002</c:v>
                </c:pt>
                <c:pt idx="4">
                  <c:v>0</c:v>
                </c:pt>
                <c:pt idx="5">
                  <c:v>29645.069024</c:v>
                </c:pt>
                <c:pt idx="6">
                  <c:v>9101.2821530000001</c:v>
                </c:pt>
                <c:pt idx="7">
                  <c:v>48046.339053000003</c:v>
                </c:pt>
                <c:pt idx="8">
                  <c:v>0</c:v>
                </c:pt>
                <c:pt idx="9">
                  <c:v>29397.810571000002</c:v>
                </c:pt>
                <c:pt idx="10">
                  <c:v>2883.1174249999999</c:v>
                </c:pt>
                <c:pt idx="11">
                  <c:v>181.640681</c:v>
                </c:pt>
                <c:pt idx="12">
                  <c:v>1633.1340990000001</c:v>
                </c:pt>
                <c:pt idx="13">
                  <c:v>102.88987400000001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54-427F-9EA2-DC8647A4A516}"/>
            </c:ext>
          </c:extLst>
        </c:ser>
        <c:ser>
          <c:idx val="3"/>
          <c:order val="3"/>
          <c:tx>
            <c:strRef>
              <c:f>'Transportation Emissions'!$G$87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Emissions'!$B$88:$C$101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Emissions'!$G$88:$G$101</c:f>
              <c:numCache>
                <c:formatCode>General</c:formatCode>
                <c:ptCount val="14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54-427F-9EA2-DC8647A4A516}"/>
            </c:ext>
          </c:extLst>
        </c:ser>
        <c:ser>
          <c:idx val="4"/>
          <c:order val="4"/>
          <c:tx>
            <c:strRef>
              <c:f>'Transportation Emissions'!$H$87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Emissions'!$B$88:$C$101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Emissions'!$H$88:$H$101</c:f>
              <c:numCache>
                <c:formatCode>General</c:formatCode>
                <c:ptCount val="14"/>
                <c:pt idx="4">
                  <c:v>0</c:v>
                </c:pt>
                <c:pt idx="5">
                  <c:v>226108.64778200001</c:v>
                </c:pt>
                <c:pt idx="12">
                  <c:v>10900.915784000001</c:v>
                </c:pt>
                <c:pt idx="13">
                  <c:v>9038.2488529999991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54-427F-9EA2-DC8647A4A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70001"/>
        <c:axId val="51170002"/>
      </c:barChart>
      <c:catAx>
        <c:axId val="511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70002"/>
        <c:crosses val="autoZero"/>
        <c:auto val="1"/>
        <c:lblAlgn val="ctr"/>
        <c:lblOffset val="100"/>
        <c:noMultiLvlLbl val="0"/>
      </c:catAx>
      <c:valAx>
        <c:axId val="511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7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Emissions'!$D$87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Emissions'!$B$102:$C$115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Emissions'!$D$102:$D$115</c:f>
              <c:numCache>
                <c:formatCode>General</c:formatCode>
                <c:ptCount val="14"/>
                <c:pt idx="2">
                  <c:v>155602.57332600001</c:v>
                </c:pt>
                <c:pt idx="3">
                  <c:v>29.747593999999999</c:v>
                </c:pt>
                <c:pt idx="4">
                  <c:v>9523683.0892169997</c:v>
                </c:pt>
                <c:pt idx="5">
                  <c:v>242581.53724000001</c:v>
                </c:pt>
                <c:pt idx="6">
                  <c:v>565250.42151799996</c:v>
                </c:pt>
                <c:pt idx="7">
                  <c:v>143.05207899999999</c:v>
                </c:pt>
                <c:pt idx="8">
                  <c:v>5718148.28773</c:v>
                </c:pt>
                <c:pt idx="9">
                  <c:v>4574518.6983500002</c:v>
                </c:pt>
                <c:pt idx="10">
                  <c:v>15342.180034999999</c:v>
                </c:pt>
                <c:pt idx="11">
                  <c:v>981.89948500000003</c:v>
                </c:pt>
                <c:pt idx="12">
                  <c:v>235760.713521</c:v>
                </c:pt>
                <c:pt idx="13">
                  <c:v>15080.37255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2-42CC-AD88-52EA41651C14}"/>
            </c:ext>
          </c:extLst>
        </c:ser>
        <c:ser>
          <c:idx val="1"/>
          <c:order val="1"/>
          <c:tx>
            <c:strRef>
              <c:f>'Transportation Emissions'!$E$87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Emissions'!$B$102:$C$115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Emissions'!$E$102:$E$115</c:f>
              <c:numCache>
                <c:formatCode>General</c:formatCode>
                <c:ptCount val="14"/>
                <c:pt idx="2">
                  <c:v>8261519.8331279997</c:v>
                </c:pt>
                <c:pt idx="3">
                  <c:v>628.62501399999996</c:v>
                </c:pt>
                <c:pt idx="4">
                  <c:v>8531533.1454099994</c:v>
                </c:pt>
                <c:pt idx="5">
                  <c:v>211902.88770799999</c:v>
                </c:pt>
                <c:pt idx="6">
                  <c:v>7457037.3025010005</c:v>
                </c:pt>
                <c:pt idx="7">
                  <c:v>739.95594200000005</c:v>
                </c:pt>
                <c:pt idx="12">
                  <c:v>36218.610944</c:v>
                </c:pt>
                <c:pt idx="13">
                  <c:v>2350.787906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2-42CC-AD88-52EA41651C14}"/>
            </c:ext>
          </c:extLst>
        </c:ser>
        <c:ser>
          <c:idx val="2"/>
          <c:order val="2"/>
          <c:tx>
            <c:strRef>
              <c:f>'Transportation Emissions'!$F$87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Emissions'!$B$102:$C$115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Emissions'!$F$102:$F$115</c:f>
              <c:numCache>
                <c:formatCode>General</c:formatCode>
                <c:ptCount val="14"/>
                <c:pt idx="2">
                  <c:v>5489.35736</c:v>
                </c:pt>
                <c:pt idx="3">
                  <c:v>61846.510434000003</c:v>
                </c:pt>
                <c:pt idx="4">
                  <c:v>0</c:v>
                </c:pt>
                <c:pt idx="5">
                  <c:v>53280.872205</c:v>
                </c:pt>
                <c:pt idx="6">
                  <c:v>9101.2821530000001</c:v>
                </c:pt>
                <c:pt idx="7">
                  <c:v>73139.690264999997</c:v>
                </c:pt>
                <c:pt idx="10">
                  <c:v>2883.1174249999999</c:v>
                </c:pt>
                <c:pt idx="11">
                  <c:v>181.38534100000001</c:v>
                </c:pt>
                <c:pt idx="12">
                  <c:v>1633.1340990000001</c:v>
                </c:pt>
                <c:pt idx="13">
                  <c:v>102.74523600000001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2-42CC-AD88-52EA41651C14}"/>
            </c:ext>
          </c:extLst>
        </c:ser>
        <c:ser>
          <c:idx val="3"/>
          <c:order val="3"/>
          <c:tx>
            <c:strRef>
              <c:f>'Transportation Emissions'!$G$87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Emissions'!$B$102:$C$115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Emissions'!$G$102:$G$115</c:f>
              <c:numCache>
                <c:formatCode>General</c:formatCode>
                <c:ptCount val="14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22-42CC-AD88-52EA41651C14}"/>
            </c:ext>
          </c:extLst>
        </c:ser>
        <c:ser>
          <c:idx val="4"/>
          <c:order val="4"/>
          <c:tx>
            <c:strRef>
              <c:f>'Transportation Emissions'!$H$87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Emissions'!$B$102:$C$115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Emissions'!$H$102:$H$115</c:f>
              <c:numCache>
                <c:formatCode>General</c:formatCode>
                <c:ptCount val="14"/>
                <c:pt idx="12">
                  <c:v>10900.915784000001</c:v>
                </c:pt>
                <c:pt idx="13">
                  <c:v>1015.174699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22-42CC-AD88-52EA4165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80001"/>
        <c:axId val="51180002"/>
      </c:barChart>
      <c:catAx>
        <c:axId val="511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80002"/>
        <c:crosses val="autoZero"/>
        <c:auto val="1"/>
        <c:lblAlgn val="ctr"/>
        <c:lblOffset val="100"/>
        <c:noMultiLvlLbl val="0"/>
      </c:catAx>
      <c:valAx>
        <c:axId val="511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8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Emissions'!$D$87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Emissions'!$B$116:$C$129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Emissions'!$D$116:$D$129</c:f>
              <c:numCache>
                <c:formatCode>General</c:formatCode>
                <c:ptCount val="14"/>
                <c:pt idx="2">
                  <c:v>155602.57332600001</c:v>
                </c:pt>
                <c:pt idx="3">
                  <c:v>307479.710456</c:v>
                </c:pt>
                <c:pt idx="4">
                  <c:v>9523683.0892169997</c:v>
                </c:pt>
                <c:pt idx="5">
                  <c:v>7830225.6711799996</c:v>
                </c:pt>
                <c:pt idx="6">
                  <c:v>565250.42151799996</c:v>
                </c:pt>
                <c:pt idx="7">
                  <c:v>1310343.570263</c:v>
                </c:pt>
                <c:pt idx="8">
                  <c:v>5718148.28773</c:v>
                </c:pt>
                <c:pt idx="9">
                  <c:v>5718148.28773</c:v>
                </c:pt>
                <c:pt idx="10">
                  <c:v>15342.180034999999</c:v>
                </c:pt>
                <c:pt idx="11">
                  <c:v>15342.180034999999</c:v>
                </c:pt>
                <c:pt idx="12">
                  <c:v>235760.713521</c:v>
                </c:pt>
                <c:pt idx="13">
                  <c:v>235933.28184400001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B-4649-9739-15A21094A817}"/>
            </c:ext>
          </c:extLst>
        </c:ser>
        <c:ser>
          <c:idx val="1"/>
          <c:order val="1"/>
          <c:tx>
            <c:strRef>
              <c:f>'Transportation Emissions'!$E$87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Emissions'!$B$116:$C$129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Emissions'!$E$116:$E$129</c:f>
              <c:numCache>
                <c:formatCode>General</c:formatCode>
                <c:ptCount val="14"/>
                <c:pt idx="2">
                  <c:v>8261519.8331279997</c:v>
                </c:pt>
                <c:pt idx="3">
                  <c:v>6474084.9940060005</c:v>
                </c:pt>
                <c:pt idx="4">
                  <c:v>8531533.1454099994</c:v>
                </c:pt>
                <c:pt idx="5">
                  <c:v>7020156.8287279997</c:v>
                </c:pt>
                <c:pt idx="6">
                  <c:v>7457037.3025010005</c:v>
                </c:pt>
                <c:pt idx="7">
                  <c:v>6547905.5012180004</c:v>
                </c:pt>
                <c:pt idx="12">
                  <c:v>36218.610944</c:v>
                </c:pt>
                <c:pt idx="13">
                  <c:v>36223.675547999999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B-4649-9739-15A21094A817}"/>
            </c:ext>
          </c:extLst>
        </c:ser>
        <c:ser>
          <c:idx val="2"/>
          <c:order val="2"/>
          <c:tx>
            <c:strRef>
              <c:f>'Transportation Emissions'!$F$87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Emissions'!$B$116:$C$129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Emissions'!$F$116:$F$129</c:f>
              <c:numCache>
                <c:formatCode>General</c:formatCode>
                <c:ptCount val="14"/>
                <c:pt idx="2">
                  <c:v>5489.35736</c:v>
                </c:pt>
                <c:pt idx="3">
                  <c:v>27852.536695999999</c:v>
                </c:pt>
                <c:pt idx="6">
                  <c:v>9101.2821530000001</c:v>
                </c:pt>
                <c:pt idx="7">
                  <c:v>48037.87096</c:v>
                </c:pt>
                <c:pt idx="10">
                  <c:v>2883.1174249999999</c:v>
                </c:pt>
                <c:pt idx="11">
                  <c:v>3152.100907</c:v>
                </c:pt>
                <c:pt idx="12">
                  <c:v>1633.1340990000001</c:v>
                </c:pt>
                <c:pt idx="13">
                  <c:v>1785.499086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0B-4649-9739-15A21094A817}"/>
            </c:ext>
          </c:extLst>
        </c:ser>
        <c:ser>
          <c:idx val="3"/>
          <c:order val="3"/>
          <c:tx>
            <c:strRef>
              <c:f>'Transportation Emissions'!$G$87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Emissions'!$B$116:$C$129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Emissions'!$G$116:$G$129</c:f>
              <c:numCache>
                <c:formatCode>General</c:formatCode>
                <c:ptCount val="14"/>
                <c:pt idx="0">
                  <c:v>7872484.352</c:v>
                </c:pt>
                <c:pt idx="1">
                  <c:v>7872484.352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0B-4649-9739-15A21094A817}"/>
            </c:ext>
          </c:extLst>
        </c:ser>
        <c:ser>
          <c:idx val="4"/>
          <c:order val="4"/>
          <c:tx>
            <c:strRef>
              <c:f>'Transportation Emissions'!$H$87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Emissions'!$B$116:$C$129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Emissions'!$H$116:$H$129</c:f>
              <c:numCache>
                <c:formatCode>General</c:formatCode>
                <c:ptCount val="14"/>
                <c:pt idx="12">
                  <c:v>10900.915784000001</c:v>
                </c:pt>
                <c:pt idx="13">
                  <c:v>10900.915784000001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0B-4649-9739-15A21094A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90001"/>
        <c:axId val="51190002"/>
      </c:barChart>
      <c:catAx>
        <c:axId val="511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90002"/>
        <c:crosses val="autoZero"/>
        <c:auto val="1"/>
        <c:lblAlgn val="ctr"/>
        <c:lblOffset val="100"/>
        <c:noMultiLvlLbl val="0"/>
      </c:catAx>
      <c:valAx>
        <c:axId val="511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19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Emissions'!$B$59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Emissions'!$C$59:$AH$59</c:f>
              <c:numCache>
                <c:formatCode>General</c:formatCode>
                <c:ptCount val="32"/>
                <c:pt idx="0">
                  <c:v>24286310</c:v>
                </c:pt>
                <c:pt idx="1">
                  <c:v>24217940</c:v>
                </c:pt>
                <c:pt idx="2">
                  <c:v>23166380</c:v>
                </c:pt>
                <c:pt idx="3">
                  <c:v>21963040</c:v>
                </c:pt>
                <c:pt idx="4">
                  <c:v>20837070</c:v>
                </c:pt>
                <c:pt idx="5">
                  <c:v>19453880</c:v>
                </c:pt>
                <c:pt idx="6">
                  <c:v>17345270</c:v>
                </c:pt>
                <c:pt idx="7">
                  <c:v>15824550</c:v>
                </c:pt>
                <c:pt idx="8">
                  <c:v>14200710</c:v>
                </c:pt>
                <c:pt idx="9">
                  <c:v>12547850</c:v>
                </c:pt>
                <c:pt idx="10">
                  <c:v>10970820</c:v>
                </c:pt>
                <c:pt idx="11">
                  <c:v>9602140</c:v>
                </c:pt>
                <c:pt idx="12">
                  <c:v>8439760</c:v>
                </c:pt>
                <c:pt idx="13">
                  <c:v>7435527</c:v>
                </c:pt>
                <c:pt idx="14">
                  <c:v>6526361</c:v>
                </c:pt>
                <c:pt idx="15">
                  <c:v>5532054</c:v>
                </c:pt>
                <c:pt idx="16">
                  <c:v>4700137</c:v>
                </c:pt>
                <c:pt idx="17">
                  <c:v>4104683</c:v>
                </c:pt>
                <c:pt idx="18">
                  <c:v>3513066</c:v>
                </c:pt>
                <c:pt idx="19">
                  <c:v>2955847</c:v>
                </c:pt>
                <c:pt idx="20">
                  <c:v>2488009</c:v>
                </c:pt>
                <c:pt idx="21">
                  <c:v>2071096</c:v>
                </c:pt>
                <c:pt idx="22">
                  <c:v>1698902</c:v>
                </c:pt>
                <c:pt idx="23">
                  <c:v>1360282</c:v>
                </c:pt>
                <c:pt idx="24">
                  <c:v>1064796</c:v>
                </c:pt>
                <c:pt idx="25">
                  <c:v>814465.2</c:v>
                </c:pt>
                <c:pt idx="26">
                  <c:v>606112.19999999995</c:v>
                </c:pt>
                <c:pt idx="27">
                  <c:v>435967.4</c:v>
                </c:pt>
                <c:pt idx="28">
                  <c:v>300082.7</c:v>
                </c:pt>
                <c:pt idx="29">
                  <c:v>193213.5</c:v>
                </c:pt>
                <c:pt idx="30">
                  <c:v>109065.8</c:v>
                </c:pt>
                <c:pt idx="31">
                  <c:v>40572.46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8-4DFE-B9BD-21D4D0A5E191}"/>
            </c:ext>
          </c:extLst>
        </c:ser>
        <c:ser>
          <c:idx val="1"/>
          <c:order val="1"/>
          <c:tx>
            <c:strRef>
              <c:f>'Total Emissions'!$B$62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Emissions'!$C$62:$AH$62</c:f>
              <c:numCache>
                <c:formatCode>General</c:formatCode>
                <c:ptCount val="32"/>
                <c:pt idx="0">
                  <c:v>21637454.120000001</c:v>
                </c:pt>
                <c:pt idx="1">
                  <c:v>21621214.120000001</c:v>
                </c:pt>
                <c:pt idx="2">
                  <c:v>21571369.890000001</c:v>
                </c:pt>
                <c:pt idx="3">
                  <c:v>21508353.670000002</c:v>
                </c:pt>
                <c:pt idx="4">
                  <c:v>21273349.649999999</c:v>
                </c:pt>
                <c:pt idx="5">
                  <c:v>20847883.629999999</c:v>
                </c:pt>
                <c:pt idx="6">
                  <c:v>20427735.609999999</c:v>
                </c:pt>
                <c:pt idx="7">
                  <c:v>19904290.59</c:v>
                </c:pt>
                <c:pt idx="8">
                  <c:v>19363907.57</c:v>
                </c:pt>
                <c:pt idx="9">
                  <c:v>18797621.546</c:v>
                </c:pt>
                <c:pt idx="10">
                  <c:v>17996754.423999999</c:v>
                </c:pt>
                <c:pt idx="11">
                  <c:v>12491378.403000001</c:v>
                </c:pt>
                <c:pt idx="12">
                  <c:v>11668778.482000001</c:v>
                </c:pt>
                <c:pt idx="13">
                  <c:v>10860349.460000001</c:v>
                </c:pt>
                <c:pt idx="14">
                  <c:v>10087659.438999999</c:v>
                </c:pt>
                <c:pt idx="15">
                  <c:v>9338336.5179999992</c:v>
                </c:pt>
                <c:pt idx="16">
                  <c:v>8757049.4969999995</c:v>
                </c:pt>
                <c:pt idx="17">
                  <c:v>8208834.7750000004</c:v>
                </c:pt>
                <c:pt idx="18">
                  <c:v>7717149.2540000007</c:v>
                </c:pt>
                <c:pt idx="19">
                  <c:v>7279247.3330000006</c:v>
                </c:pt>
                <c:pt idx="20">
                  <c:v>6875408.5329999998</c:v>
                </c:pt>
                <c:pt idx="21">
                  <c:v>6547883.1329999994</c:v>
                </c:pt>
                <c:pt idx="22">
                  <c:v>6345645.0329999998</c:v>
                </c:pt>
                <c:pt idx="23">
                  <c:v>6163369.9330000002</c:v>
                </c:pt>
                <c:pt idx="24">
                  <c:v>5996904.8329999996</c:v>
                </c:pt>
                <c:pt idx="25">
                  <c:v>5836701.4330000002</c:v>
                </c:pt>
                <c:pt idx="26">
                  <c:v>4519707.733</c:v>
                </c:pt>
                <c:pt idx="27">
                  <c:v>4387237.1329999994</c:v>
                </c:pt>
                <c:pt idx="28">
                  <c:v>4259558.8329999996</c:v>
                </c:pt>
                <c:pt idx="29">
                  <c:v>4135441.1329999999</c:v>
                </c:pt>
                <c:pt idx="30">
                  <c:v>4003319.4330000002</c:v>
                </c:pt>
                <c:pt idx="31">
                  <c:v>3895696.5329999998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8-4DFE-B9BD-21D4D0A5E191}"/>
            </c:ext>
          </c:extLst>
        </c:ser>
        <c:ser>
          <c:idx val="2"/>
          <c:order val="2"/>
          <c:tx>
            <c:strRef>
              <c:f>'Total Emissions'!$B$56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Emissions'!$C$56:$AH$56</c:f>
              <c:numCache>
                <c:formatCode>General</c:formatCode>
                <c:ptCount val="32"/>
                <c:pt idx="0">
                  <c:v>16213790</c:v>
                </c:pt>
                <c:pt idx="1">
                  <c:v>15531020</c:v>
                </c:pt>
                <c:pt idx="2">
                  <c:v>14818260</c:v>
                </c:pt>
                <c:pt idx="3">
                  <c:v>14088080</c:v>
                </c:pt>
                <c:pt idx="4">
                  <c:v>13373050</c:v>
                </c:pt>
                <c:pt idx="5">
                  <c:v>12528840</c:v>
                </c:pt>
                <c:pt idx="6">
                  <c:v>11750050</c:v>
                </c:pt>
                <c:pt idx="7">
                  <c:v>10923790</c:v>
                </c:pt>
                <c:pt idx="8">
                  <c:v>10137830</c:v>
                </c:pt>
                <c:pt idx="9">
                  <c:v>9372473</c:v>
                </c:pt>
                <c:pt idx="10">
                  <c:v>8628280</c:v>
                </c:pt>
                <c:pt idx="11">
                  <c:v>7917861</c:v>
                </c:pt>
                <c:pt idx="12">
                  <c:v>7235565</c:v>
                </c:pt>
                <c:pt idx="13">
                  <c:v>6584524</c:v>
                </c:pt>
                <c:pt idx="14">
                  <c:v>5951586</c:v>
                </c:pt>
                <c:pt idx="15">
                  <c:v>5324069</c:v>
                </c:pt>
                <c:pt idx="16">
                  <c:v>4732364</c:v>
                </c:pt>
                <c:pt idx="17">
                  <c:v>4407526</c:v>
                </c:pt>
                <c:pt idx="18">
                  <c:v>4088349</c:v>
                </c:pt>
                <c:pt idx="19">
                  <c:v>3778517</c:v>
                </c:pt>
                <c:pt idx="20">
                  <c:v>3529889</c:v>
                </c:pt>
                <c:pt idx="21">
                  <c:v>3287976</c:v>
                </c:pt>
                <c:pt idx="22">
                  <c:v>3185261</c:v>
                </c:pt>
                <c:pt idx="23">
                  <c:v>3087191</c:v>
                </c:pt>
                <c:pt idx="24">
                  <c:v>2994913</c:v>
                </c:pt>
                <c:pt idx="25">
                  <c:v>2908654</c:v>
                </c:pt>
                <c:pt idx="26">
                  <c:v>2827994</c:v>
                </c:pt>
                <c:pt idx="27">
                  <c:v>2752521</c:v>
                </c:pt>
                <c:pt idx="28">
                  <c:v>2681629</c:v>
                </c:pt>
                <c:pt idx="29">
                  <c:v>2614683</c:v>
                </c:pt>
                <c:pt idx="30">
                  <c:v>2550914</c:v>
                </c:pt>
                <c:pt idx="31">
                  <c:v>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8-4DFE-B9BD-21D4D0A5E191}"/>
            </c:ext>
          </c:extLst>
        </c:ser>
        <c:ser>
          <c:idx val="3"/>
          <c:order val="3"/>
          <c:tx>
            <c:strRef>
              <c:f>'Total Emissions'!$B$60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Emissions'!$C$60:$AH$60</c:f>
              <c:numCache>
                <c:formatCode>General</c:formatCode>
                <c:ptCount val="32"/>
                <c:pt idx="0">
                  <c:v>9786438.5133999996</c:v>
                </c:pt>
                <c:pt idx="1">
                  <c:v>9759433.8719999995</c:v>
                </c:pt>
                <c:pt idx="2">
                  <c:v>9988101.1637523007</c:v>
                </c:pt>
                <c:pt idx="3">
                  <c:v>10190521.580995999</c:v>
                </c:pt>
                <c:pt idx="4">
                  <c:v>10211375.9098</c:v>
                </c:pt>
                <c:pt idx="5">
                  <c:v>10148768.0338</c:v>
                </c:pt>
                <c:pt idx="6">
                  <c:v>2794268.2694999999</c:v>
                </c:pt>
                <c:pt idx="7">
                  <c:v>2481574.9980000001</c:v>
                </c:pt>
                <c:pt idx="8">
                  <c:v>2191709.7982000001</c:v>
                </c:pt>
                <c:pt idx="9">
                  <c:v>1917868.9579</c:v>
                </c:pt>
                <c:pt idx="10">
                  <c:v>1666603.9479</c:v>
                </c:pt>
                <c:pt idx="11">
                  <c:v>1478849.0066</c:v>
                </c:pt>
                <c:pt idx="12">
                  <c:v>1421169.5552999999</c:v>
                </c:pt>
                <c:pt idx="13">
                  <c:v>1357490.2864000001</c:v>
                </c:pt>
                <c:pt idx="14">
                  <c:v>1290002.3093000001</c:v>
                </c:pt>
                <c:pt idx="15">
                  <c:v>1220257.7988</c:v>
                </c:pt>
                <c:pt idx="16">
                  <c:v>1157857.9523</c:v>
                </c:pt>
                <c:pt idx="17">
                  <c:v>1115408.1044000001</c:v>
                </c:pt>
                <c:pt idx="18">
                  <c:v>1069380.4197</c:v>
                </c:pt>
                <c:pt idx="19">
                  <c:v>1019698.3676999999</c:v>
                </c:pt>
                <c:pt idx="20">
                  <c:v>967248.22089999996</c:v>
                </c:pt>
                <c:pt idx="21">
                  <c:v>918156.17800000007</c:v>
                </c:pt>
                <c:pt idx="22">
                  <c:v>896535.07290000003</c:v>
                </c:pt>
                <c:pt idx="23">
                  <c:v>870315.5652999999</c:v>
                </c:pt>
                <c:pt idx="24">
                  <c:v>837918.37569999998</c:v>
                </c:pt>
                <c:pt idx="25">
                  <c:v>799609.40870000003</c:v>
                </c:pt>
                <c:pt idx="26">
                  <c:v>754746.11789999995</c:v>
                </c:pt>
                <c:pt idx="27">
                  <c:v>754746.25210000004</c:v>
                </c:pt>
                <c:pt idx="28">
                  <c:v>754746.47970000003</c:v>
                </c:pt>
                <c:pt idx="29">
                  <c:v>754746.57949999999</c:v>
                </c:pt>
                <c:pt idx="30">
                  <c:v>754746.74450000003</c:v>
                </c:pt>
                <c:pt idx="31">
                  <c:v>754746.91020000004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28-4DFE-B9BD-21D4D0A5E191}"/>
            </c:ext>
          </c:extLst>
        </c:ser>
        <c:ser>
          <c:idx val="4"/>
          <c:order val="4"/>
          <c:tx>
            <c:strRef>
              <c:f>'Total Emissions'!$B$55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Emissions'!$C$55:$AH$55</c:f>
              <c:numCache>
                <c:formatCode>General</c:formatCode>
                <c:ptCount val="32"/>
                <c:pt idx="0">
                  <c:v>8510024.0999999996</c:v>
                </c:pt>
                <c:pt idx="1">
                  <c:v>8510023.0999999996</c:v>
                </c:pt>
                <c:pt idx="2">
                  <c:v>8510023.0999999996</c:v>
                </c:pt>
                <c:pt idx="3">
                  <c:v>8510023.0999999996</c:v>
                </c:pt>
                <c:pt idx="4">
                  <c:v>8510023.0999999996</c:v>
                </c:pt>
                <c:pt idx="5">
                  <c:v>8510023.0999999996</c:v>
                </c:pt>
                <c:pt idx="6">
                  <c:v>473388.3</c:v>
                </c:pt>
                <c:pt idx="7">
                  <c:v>468402.8</c:v>
                </c:pt>
                <c:pt idx="8">
                  <c:v>463564</c:v>
                </c:pt>
                <c:pt idx="9">
                  <c:v>458865.6</c:v>
                </c:pt>
                <c:pt idx="10">
                  <c:v>454301.4</c:v>
                </c:pt>
                <c:pt idx="11">
                  <c:v>449865.9</c:v>
                </c:pt>
                <c:pt idx="12">
                  <c:v>445652.1</c:v>
                </c:pt>
                <c:pt idx="13">
                  <c:v>441553.9</c:v>
                </c:pt>
                <c:pt idx="14">
                  <c:v>437566.5</c:v>
                </c:pt>
                <c:pt idx="15">
                  <c:v>433685.5</c:v>
                </c:pt>
                <c:pt idx="16">
                  <c:v>429906.7</c:v>
                </c:pt>
                <c:pt idx="17">
                  <c:v>426324</c:v>
                </c:pt>
                <c:pt idx="18">
                  <c:v>422833.2</c:v>
                </c:pt>
                <c:pt idx="19">
                  <c:v>419430.8</c:v>
                </c:pt>
                <c:pt idx="20">
                  <c:v>416113.6</c:v>
                </c:pt>
                <c:pt idx="21">
                  <c:v>412878.3</c:v>
                </c:pt>
                <c:pt idx="22">
                  <c:v>409611.1</c:v>
                </c:pt>
                <c:pt idx="23">
                  <c:v>406422.6</c:v>
                </c:pt>
                <c:pt idx="24">
                  <c:v>403310.2</c:v>
                </c:pt>
                <c:pt idx="25">
                  <c:v>400271</c:v>
                </c:pt>
                <c:pt idx="26">
                  <c:v>397302.5</c:v>
                </c:pt>
                <c:pt idx="27">
                  <c:v>394325.8</c:v>
                </c:pt>
                <c:pt idx="28">
                  <c:v>391416.8</c:v>
                </c:pt>
                <c:pt idx="29">
                  <c:v>388573.3</c:v>
                </c:pt>
                <c:pt idx="30">
                  <c:v>385793</c:v>
                </c:pt>
                <c:pt idx="31">
                  <c:v>383073.8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28-4DFE-B9BD-21D4D0A5E191}"/>
            </c:ext>
          </c:extLst>
        </c:ser>
        <c:ser>
          <c:idx val="5"/>
          <c:order val="5"/>
          <c:tx>
            <c:strRef>
              <c:f>'Total Emissions'!$B$61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Emissions'!$C$61:$AH$61</c:f>
              <c:numCache>
                <c:formatCode>General</c:formatCode>
                <c:ptCount val="32"/>
                <c:pt idx="0">
                  <c:v>7872484</c:v>
                </c:pt>
                <c:pt idx="1">
                  <c:v>7872484</c:v>
                </c:pt>
                <c:pt idx="2">
                  <c:v>7785012</c:v>
                </c:pt>
                <c:pt idx="3">
                  <c:v>7697540</c:v>
                </c:pt>
                <c:pt idx="4">
                  <c:v>7610068</c:v>
                </c:pt>
                <c:pt idx="5">
                  <c:v>7522596</c:v>
                </c:pt>
                <c:pt idx="6">
                  <c:v>7435124</c:v>
                </c:pt>
                <c:pt idx="7">
                  <c:v>7347652</c:v>
                </c:pt>
                <c:pt idx="8">
                  <c:v>7260180</c:v>
                </c:pt>
                <c:pt idx="9">
                  <c:v>7172708</c:v>
                </c:pt>
                <c:pt idx="10">
                  <c:v>7085236</c:v>
                </c:pt>
                <c:pt idx="11">
                  <c:v>6997764</c:v>
                </c:pt>
                <c:pt idx="12">
                  <c:v>6910292</c:v>
                </c:pt>
                <c:pt idx="13">
                  <c:v>6822820</c:v>
                </c:pt>
                <c:pt idx="14">
                  <c:v>6735348</c:v>
                </c:pt>
                <c:pt idx="15">
                  <c:v>6647876</c:v>
                </c:pt>
                <c:pt idx="16">
                  <c:v>6560404</c:v>
                </c:pt>
                <c:pt idx="17">
                  <c:v>6472932</c:v>
                </c:pt>
                <c:pt idx="18">
                  <c:v>6385459</c:v>
                </c:pt>
                <c:pt idx="19">
                  <c:v>6297988</c:v>
                </c:pt>
                <c:pt idx="20">
                  <c:v>6297988</c:v>
                </c:pt>
                <c:pt idx="21">
                  <c:v>6297988</c:v>
                </c:pt>
                <c:pt idx="22">
                  <c:v>6297988</c:v>
                </c:pt>
                <c:pt idx="23">
                  <c:v>6297988</c:v>
                </c:pt>
                <c:pt idx="24">
                  <c:v>6297988</c:v>
                </c:pt>
                <c:pt idx="25">
                  <c:v>6297988</c:v>
                </c:pt>
                <c:pt idx="26">
                  <c:v>6297988</c:v>
                </c:pt>
                <c:pt idx="27">
                  <c:v>6297988</c:v>
                </c:pt>
                <c:pt idx="28">
                  <c:v>6297988</c:v>
                </c:pt>
                <c:pt idx="29">
                  <c:v>6297988</c:v>
                </c:pt>
                <c:pt idx="30">
                  <c:v>6297988</c:v>
                </c:pt>
                <c:pt idx="31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28-4DFE-B9BD-21D4D0A5E191}"/>
            </c:ext>
          </c:extLst>
        </c:ser>
        <c:ser>
          <c:idx val="6"/>
          <c:order val="6"/>
          <c:tx>
            <c:strRef>
              <c:f>'Total Emissions'!$B$57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Emissions'!$C$57:$AH$57</c:f>
              <c:numCache>
                <c:formatCode>General</c:formatCode>
                <c:ptCount val="32"/>
                <c:pt idx="0">
                  <c:v>6884914.7750000004</c:v>
                </c:pt>
                <c:pt idx="1">
                  <c:v>6883513.2640000004</c:v>
                </c:pt>
                <c:pt idx="2">
                  <c:v>6878772.4979999997</c:v>
                </c:pt>
                <c:pt idx="3">
                  <c:v>6874023.54</c:v>
                </c:pt>
                <c:pt idx="4">
                  <c:v>6752328.199</c:v>
                </c:pt>
                <c:pt idx="5">
                  <c:v>6627582.7010000004</c:v>
                </c:pt>
                <c:pt idx="6">
                  <c:v>6411524.8119999999</c:v>
                </c:pt>
                <c:pt idx="7">
                  <c:v>6203070.1579999998</c:v>
                </c:pt>
                <c:pt idx="8">
                  <c:v>5998238.0350000001</c:v>
                </c:pt>
                <c:pt idx="9">
                  <c:v>5796059.4189999998</c:v>
                </c:pt>
                <c:pt idx="10">
                  <c:v>5595589.023</c:v>
                </c:pt>
                <c:pt idx="11">
                  <c:v>5390132.693</c:v>
                </c:pt>
                <c:pt idx="12">
                  <c:v>5189233.9859999996</c:v>
                </c:pt>
                <c:pt idx="13">
                  <c:v>4992678.0369999995</c:v>
                </c:pt>
                <c:pt idx="14">
                  <c:v>4802060.9630000005</c:v>
                </c:pt>
                <c:pt idx="15">
                  <c:v>4618244.5190000003</c:v>
                </c:pt>
                <c:pt idx="16">
                  <c:v>4441581.7139999997</c:v>
                </c:pt>
                <c:pt idx="17">
                  <c:v>4275464.3080000002</c:v>
                </c:pt>
                <c:pt idx="18">
                  <c:v>4116018.8640000001</c:v>
                </c:pt>
                <c:pt idx="19">
                  <c:v>3962898.9240000001</c:v>
                </c:pt>
                <c:pt idx="20">
                  <c:v>3815620.7570000002</c:v>
                </c:pt>
                <c:pt idx="21">
                  <c:v>3673495.6779999998</c:v>
                </c:pt>
                <c:pt idx="22">
                  <c:v>3533074.625</c:v>
                </c:pt>
                <c:pt idx="23">
                  <c:v>3397092.105</c:v>
                </c:pt>
                <c:pt idx="24">
                  <c:v>3265191.199</c:v>
                </c:pt>
                <c:pt idx="25">
                  <c:v>3137031.39</c:v>
                </c:pt>
                <c:pt idx="26">
                  <c:v>3010813.0869999998</c:v>
                </c:pt>
                <c:pt idx="27">
                  <c:v>2887097.1209999998</c:v>
                </c:pt>
                <c:pt idx="28">
                  <c:v>2766311.3281</c:v>
                </c:pt>
                <c:pt idx="29">
                  <c:v>2648246.8333000001</c:v>
                </c:pt>
                <c:pt idx="30">
                  <c:v>2532756.1869999999</c:v>
                </c:pt>
                <c:pt idx="31">
                  <c:v>2419734.4079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28-4DFE-B9BD-21D4D0A5E191}"/>
            </c:ext>
          </c:extLst>
        </c:ser>
        <c:ser>
          <c:idx val="7"/>
          <c:order val="7"/>
          <c:tx>
            <c:strRef>
              <c:f>'Total Emissions'!$B$63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Emissions'!$C$63:$AH$63</c:f>
              <c:numCache>
                <c:formatCode>General</c:formatCode>
                <c:ptCount val="32"/>
                <c:pt idx="0">
                  <c:v>5790901</c:v>
                </c:pt>
                <c:pt idx="1">
                  <c:v>5790901</c:v>
                </c:pt>
                <c:pt idx="2">
                  <c:v>5790901</c:v>
                </c:pt>
                <c:pt idx="3">
                  <c:v>5790901</c:v>
                </c:pt>
                <c:pt idx="4">
                  <c:v>5790901</c:v>
                </c:pt>
                <c:pt idx="5">
                  <c:v>5790901</c:v>
                </c:pt>
                <c:pt idx="6">
                  <c:v>5790901</c:v>
                </c:pt>
                <c:pt idx="7">
                  <c:v>5790901</c:v>
                </c:pt>
                <c:pt idx="8">
                  <c:v>5790901</c:v>
                </c:pt>
                <c:pt idx="9">
                  <c:v>5790901</c:v>
                </c:pt>
                <c:pt idx="10">
                  <c:v>5790901</c:v>
                </c:pt>
                <c:pt idx="11">
                  <c:v>5790901</c:v>
                </c:pt>
                <c:pt idx="12">
                  <c:v>5790901</c:v>
                </c:pt>
                <c:pt idx="13">
                  <c:v>5790901</c:v>
                </c:pt>
                <c:pt idx="14">
                  <c:v>5790901</c:v>
                </c:pt>
                <c:pt idx="15">
                  <c:v>5790901</c:v>
                </c:pt>
                <c:pt idx="16">
                  <c:v>5790901</c:v>
                </c:pt>
                <c:pt idx="17">
                  <c:v>5790901</c:v>
                </c:pt>
                <c:pt idx="18">
                  <c:v>5790901</c:v>
                </c:pt>
                <c:pt idx="19">
                  <c:v>5790901</c:v>
                </c:pt>
                <c:pt idx="20">
                  <c:v>5790901</c:v>
                </c:pt>
                <c:pt idx="21">
                  <c:v>5790901</c:v>
                </c:pt>
                <c:pt idx="22">
                  <c:v>5790901</c:v>
                </c:pt>
                <c:pt idx="23">
                  <c:v>5790901</c:v>
                </c:pt>
                <c:pt idx="24">
                  <c:v>5790901</c:v>
                </c:pt>
                <c:pt idx="25">
                  <c:v>5790901</c:v>
                </c:pt>
                <c:pt idx="26">
                  <c:v>5790901</c:v>
                </c:pt>
                <c:pt idx="27">
                  <c:v>5790901</c:v>
                </c:pt>
                <c:pt idx="28">
                  <c:v>5790901</c:v>
                </c:pt>
                <c:pt idx="29">
                  <c:v>5790901</c:v>
                </c:pt>
                <c:pt idx="30">
                  <c:v>5790901</c:v>
                </c:pt>
                <c:pt idx="3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28-4DFE-B9BD-21D4D0A5E191}"/>
            </c:ext>
          </c:extLst>
        </c:ser>
        <c:ser>
          <c:idx val="8"/>
          <c:order val="8"/>
          <c:tx>
            <c:strRef>
              <c:f>'Total Emissions'!$B$64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Emissions'!$C$64:$AH$64</c:f>
              <c:numCache>
                <c:formatCode>General</c:formatCode>
                <c:ptCount val="32"/>
                <c:pt idx="0">
                  <c:v>3801677</c:v>
                </c:pt>
                <c:pt idx="1">
                  <c:v>3801677</c:v>
                </c:pt>
                <c:pt idx="2">
                  <c:v>3801677</c:v>
                </c:pt>
                <c:pt idx="3">
                  <c:v>3801677</c:v>
                </c:pt>
                <c:pt idx="4">
                  <c:v>3801677</c:v>
                </c:pt>
                <c:pt idx="5">
                  <c:v>3801677</c:v>
                </c:pt>
                <c:pt idx="6">
                  <c:v>3746733</c:v>
                </c:pt>
                <c:pt idx="7">
                  <c:v>3693429</c:v>
                </c:pt>
                <c:pt idx="8">
                  <c:v>3641692</c:v>
                </c:pt>
                <c:pt idx="9">
                  <c:v>3591456</c:v>
                </c:pt>
                <c:pt idx="10">
                  <c:v>3542654</c:v>
                </c:pt>
                <c:pt idx="11">
                  <c:v>3495228</c:v>
                </c:pt>
                <c:pt idx="12">
                  <c:v>3449118</c:v>
                </c:pt>
                <c:pt idx="13">
                  <c:v>3404272</c:v>
                </c:pt>
                <c:pt idx="14">
                  <c:v>3360638</c:v>
                </c:pt>
                <c:pt idx="15">
                  <c:v>3318167</c:v>
                </c:pt>
                <c:pt idx="16">
                  <c:v>3276815</c:v>
                </c:pt>
                <c:pt idx="17">
                  <c:v>3236536</c:v>
                </c:pt>
                <c:pt idx="18">
                  <c:v>3197290</c:v>
                </c:pt>
                <c:pt idx="19">
                  <c:v>3159037</c:v>
                </c:pt>
                <c:pt idx="20">
                  <c:v>3121741</c:v>
                </c:pt>
                <c:pt idx="21">
                  <c:v>3085367</c:v>
                </c:pt>
                <c:pt idx="22">
                  <c:v>3049879</c:v>
                </c:pt>
                <c:pt idx="23">
                  <c:v>3015246</c:v>
                </c:pt>
                <c:pt idx="24">
                  <c:v>2981437</c:v>
                </c:pt>
                <c:pt idx="25">
                  <c:v>2948425</c:v>
                </c:pt>
                <c:pt idx="26">
                  <c:v>2916180</c:v>
                </c:pt>
                <c:pt idx="27">
                  <c:v>2884676</c:v>
                </c:pt>
                <c:pt idx="28">
                  <c:v>2853888</c:v>
                </c:pt>
                <c:pt idx="29">
                  <c:v>2823793</c:v>
                </c:pt>
                <c:pt idx="30">
                  <c:v>2794365</c:v>
                </c:pt>
                <c:pt idx="31">
                  <c:v>2765585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28-4DFE-B9BD-21D4D0A5E191}"/>
            </c:ext>
          </c:extLst>
        </c:ser>
        <c:ser>
          <c:idx val="9"/>
          <c:order val="9"/>
          <c:tx>
            <c:strRef>
              <c:f>'Total Emissions'!$B$65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Emissions'!$C$65:$AH$65</c:f>
              <c:numCache>
                <c:formatCode>General</c:formatCode>
                <c:ptCount val="32"/>
                <c:pt idx="0">
                  <c:v>729368.12510000006</c:v>
                </c:pt>
                <c:pt idx="1">
                  <c:v>728736.72509999992</c:v>
                </c:pt>
                <c:pt idx="2">
                  <c:v>726780.01119999995</c:v>
                </c:pt>
                <c:pt idx="3">
                  <c:v>723936.79739999992</c:v>
                </c:pt>
                <c:pt idx="4">
                  <c:v>714457.00760000001</c:v>
                </c:pt>
                <c:pt idx="5">
                  <c:v>697290.01769999997</c:v>
                </c:pt>
                <c:pt idx="6">
                  <c:v>677556.56760000007</c:v>
                </c:pt>
                <c:pt idx="7">
                  <c:v>653316.09070000006</c:v>
                </c:pt>
                <c:pt idx="8">
                  <c:v>627602.47479999997</c:v>
                </c:pt>
                <c:pt idx="9">
                  <c:v>599925.20869999996</c:v>
                </c:pt>
                <c:pt idx="10">
                  <c:v>567323.28159999999</c:v>
                </c:pt>
                <c:pt idx="11">
                  <c:v>534300.78350000002</c:v>
                </c:pt>
                <c:pt idx="12">
                  <c:v>498352.78899999999</c:v>
                </c:pt>
                <c:pt idx="13">
                  <c:v>462882.61359999998</c:v>
                </c:pt>
                <c:pt idx="14">
                  <c:v>428882.05829999998</c:v>
                </c:pt>
                <c:pt idx="15">
                  <c:v>396681.09470000002</c:v>
                </c:pt>
                <c:pt idx="16">
                  <c:v>368960.72499999998</c:v>
                </c:pt>
                <c:pt idx="17">
                  <c:v>344044.4314</c:v>
                </c:pt>
                <c:pt idx="18">
                  <c:v>321639.81699999998</c:v>
                </c:pt>
                <c:pt idx="19">
                  <c:v>301443.44469999999</c:v>
                </c:pt>
                <c:pt idx="20">
                  <c:v>282935.2084</c:v>
                </c:pt>
                <c:pt idx="21">
                  <c:v>266070.7316</c:v>
                </c:pt>
                <c:pt idx="22">
                  <c:v>256320.82670000001</c:v>
                </c:pt>
                <c:pt idx="23">
                  <c:v>248046.9301</c:v>
                </c:pt>
                <c:pt idx="24">
                  <c:v>241101.05239999999</c:v>
                </c:pt>
                <c:pt idx="25">
                  <c:v>235115.63260000001</c:v>
                </c:pt>
                <c:pt idx="26">
                  <c:v>229835.37100000001</c:v>
                </c:pt>
                <c:pt idx="27">
                  <c:v>224730.45389999999</c:v>
                </c:pt>
                <c:pt idx="28">
                  <c:v>219864.3155</c:v>
                </c:pt>
                <c:pt idx="29">
                  <c:v>215170.16810000001</c:v>
                </c:pt>
                <c:pt idx="30">
                  <c:v>210523.59909999999</c:v>
                </c:pt>
                <c:pt idx="31">
                  <c:v>206178.43859999999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28-4DFE-B9BD-21D4D0A5E191}"/>
            </c:ext>
          </c:extLst>
        </c:ser>
        <c:ser>
          <c:idx val="10"/>
          <c:order val="10"/>
          <c:tx>
            <c:strRef>
              <c:f>'Total Emissions'!$B$67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Emissions'!$C$67:$AH$67</c:f>
              <c:numCache>
                <c:formatCode>General</c:formatCode>
                <c:ptCount val="32"/>
                <c:pt idx="0">
                  <c:v>384783.25699999998</c:v>
                </c:pt>
                <c:pt idx="1">
                  <c:v>384263.35700000002</c:v>
                </c:pt>
                <c:pt idx="2">
                  <c:v>381739.75699999998</c:v>
                </c:pt>
                <c:pt idx="3">
                  <c:v>378375.65700000001</c:v>
                </c:pt>
                <c:pt idx="4">
                  <c:v>373053.75699999998</c:v>
                </c:pt>
                <c:pt idx="5">
                  <c:v>366245.05699999997</c:v>
                </c:pt>
                <c:pt idx="6">
                  <c:v>356073.15700000001</c:v>
                </c:pt>
                <c:pt idx="7">
                  <c:v>345312.05699999997</c:v>
                </c:pt>
                <c:pt idx="8">
                  <c:v>333889.45699999999</c:v>
                </c:pt>
                <c:pt idx="9">
                  <c:v>321379.15700000001</c:v>
                </c:pt>
                <c:pt idx="10">
                  <c:v>307337.25699999998</c:v>
                </c:pt>
                <c:pt idx="11">
                  <c:v>291581.17700000003</c:v>
                </c:pt>
                <c:pt idx="12">
                  <c:v>275341.75699999998</c:v>
                </c:pt>
                <c:pt idx="13">
                  <c:v>259337.997</c:v>
                </c:pt>
                <c:pt idx="14">
                  <c:v>244242.897</c:v>
                </c:pt>
                <c:pt idx="15">
                  <c:v>230575.057</c:v>
                </c:pt>
                <c:pt idx="16">
                  <c:v>218668.51699999999</c:v>
                </c:pt>
                <c:pt idx="17">
                  <c:v>208742.13699999999</c:v>
                </c:pt>
                <c:pt idx="18">
                  <c:v>200740.00700000001</c:v>
                </c:pt>
                <c:pt idx="19">
                  <c:v>194490.217</c:v>
                </c:pt>
                <c:pt idx="20">
                  <c:v>189728.23800000001</c:v>
                </c:pt>
                <c:pt idx="21">
                  <c:v>186113.01300000001</c:v>
                </c:pt>
                <c:pt idx="22">
                  <c:v>183527.33199999999</c:v>
                </c:pt>
                <c:pt idx="23">
                  <c:v>181468.15</c:v>
                </c:pt>
                <c:pt idx="24">
                  <c:v>179750.28</c:v>
                </c:pt>
                <c:pt idx="25">
                  <c:v>178270.78</c:v>
                </c:pt>
                <c:pt idx="26">
                  <c:v>176949.32610000001</c:v>
                </c:pt>
                <c:pt idx="27">
                  <c:v>175683.29920000001</c:v>
                </c:pt>
                <c:pt idx="28">
                  <c:v>174490.60870000001</c:v>
                </c:pt>
                <c:pt idx="29">
                  <c:v>173355.7</c:v>
                </c:pt>
                <c:pt idx="30">
                  <c:v>172270.63279999999</c:v>
                </c:pt>
                <c:pt idx="31">
                  <c:v>171229.82250000001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28-4DFE-B9BD-21D4D0A5E191}"/>
            </c:ext>
          </c:extLst>
        </c:ser>
        <c:ser>
          <c:idx val="11"/>
          <c:order val="11"/>
          <c:tx>
            <c:strRef>
              <c:f>'Total Emissions'!$B$58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Emissions'!$C$58:$AH$58</c:f>
              <c:numCache>
                <c:formatCode>General</c:formatCode>
                <c:ptCount val="32"/>
                <c:pt idx="0">
                  <c:v>221100.7</c:v>
                </c:pt>
                <c:pt idx="1">
                  <c:v>220935.7</c:v>
                </c:pt>
                <c:pt idx="2">
                  <c:v>220430.5</c:v>
                </c:pt>
                <c:pt idx="3">
                  <c:v>219791.4</c:v>
                </c:pt>
                <c:pt idx="4">
                  <c:v>217404.7</c:v>
                </c:pt>
                <c:pt idx="5">
                  <c:v>213082.7</c:v>
                </c:pt>
                <c:pt idx="6">
                  <c:v>208814.7</c:v>
                </c:pt>
                <c:pt idx="7">
                  <c:v>203497.1</c:v>
                </c:pt>
                <c:pt idx="8">
                  <c:v>198007.4</c:v>
                </c:pt>
                <c:pt idx="9">
                  <c:v>192254.5</c:v>
                </c:pt>
                <c:pt idx="10">
                  <c:v>184118</c:v>
                </c:pt>
                <c:pt idx="11">
                  <c:v>128178.1</c:v>
                </c:pt>
                <c:pt idx="12">
                  <c:v>119820.7</c:v>
                </c:pt>
                <c:pt idx="13">
                  <c:v>111607.3</c:v>
                </c:pt>
                <c:pt idx="14">
                  <c:v>103757.1</c:v>
                </c:pt>
                <c:pt idx="15">
                  <c:v>96144.36</c:v>
                </c:pt>
                <c:pt idx="16">
                  <c:v>90239.03</c:v>
                </c:pt>
                <c:pt idx="17">
                  <c:v>84669.75</c:v>
                </c:pt>
                <c:pt idx="18">
                  <c:v>79674.87</c:v>
                </c:pt>
                <c:pt idx="19">
                  <c:v>75226.5</c:v>
                </c:pt>
                <c:pt idx="20">
                  <c:v>71123.02</c:v>
                </c:pt>
                <c:pt idx="21">
                  <c:v>67794.97</c:v>
                </c:pt>
                <c:pt idx="22">
                  <c:v>65739.990000000005</c:v>
                </c:pt>
                <c:pt idx="23">
                  <c:v>63887.86</c:v>
                </c:pt>
                <c:pt idx="24">
                  <c:v>62196.38</c:v>
                </c:pt>
                <c:pt idx="25">
                  <c:v>60568.52</c:v>
                </c:pt>
                <c:pt idx="26">
                  <c:v>47186.31</c:v>
                </c:pt>
                <c:pt idx="27">
                  <c:v>45840.24</c:v>
                </c:pt>
                <c:pt idx="28">
                  <c:v>44542.879999999997</c:v>
                </c:pt>
                <c:pt idx="29">
                  <c:v>43281.7</c:v>
                </c:pt>
                <c:pt idx="30">
                  <c:v>41939.19</c:v>
                </c:pt>
                <c:pt idx="31">
                  <c:v>40845.61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28-4DFE-B9BD-21D4D0A5E191}"/>
            </c:ext>
          </c:extLst>
        </c:ser>
        <c:ser>
          <c:idx val="12"/>
          <c:order val="12"/>
          <c:tx>
            <c:strRef>
              <c:f>'Total Emissions'!$B$66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Emissions'!$C$66:$AH$66</c:f>
              <c:numCache>
                <c:formatCode>General</c:formatCode>
                <c:ptCount val="32"/>
                <c:pt idx="0">
                  <c:v>147.99354122</c:v>
                </c:pt>
                <c:pt idx="1">
                  <c:v>147.99354106000001</c:v>
                </c:pt>
                <c:pt idx="2">
                  <c:v>165.63337098</c:v>
                </c:pt>
                <c:pt idx="3">
                  <c:v>183.27311152999999</c:v>
                </c:pt>
                <c:pt idx="4">
                  <c:v>200.91284168000001</c:v>
                </c:pt>
                <c:pt idx="5">
                  <c:v>218.55267162999999</c:v>
                </c:pt>
                <c:pt idx="6">
                  <c:v>236.19250137</c:v>
                </c:pt>
                <c:pt idx="7">
                  <c:v>253.83224125000001</c:v>
                </c:pt>
                <c:pt idx="8">
                  <c:v>271.47194130000003</c:v>
                </c:pt>
                <c:pt idx="9">
                  <c:v>289.11184170000001</c:v>
                </c:pt>
                <c:pt idx="10">
                  <c:v>306.75164130000002</c:v>
                </c:pt>
                <c:pt idx="11">
                  <c:v>324.39134189999999</c:v>
                </c:pt>
                <c:pt idx="12">
                  <c:v>342.0311413</c:v>
                </c:pt>
                <c:pt idx="13">
                  <c:v>359.67094100000003</c:v>
                </c:pt>
                <c:pt idx="14">
                  <c:v>377.3107412</c:v>
                </c:pt>
                <c:pt idx="15">
                  <c:v>394.95054149999999</c:v>
                </c:pt>
                <c:pt idx="16">
                  <c:v>412.59024169999998</c:v>
                </c:pt>
                <c:pt idx="17">
                  <c:v>430.23004159999999</c:v>
                </c:pt>
                <c:pt idx="18">
                  <c:v>447.86994110000001</c:v>
                </c:pt>
                <c:pt idx="19">
                  <c:v>465.5096413</c:v>
                </c:pt>
                <c:pt idx="20">
                  <c:v>465.50964119999998</c:v>
                </c:pt>
                <c:pt idx="21">
                  <c:v>465.50964160000001</c:v>
                </c:pt>
                <c:pt idx="22">
                  <c:v>465.50964110000001</c:v>
                </c:pt>
                <c:pt idx="23">
                  <c:v>465.50964119999998</c:v>
                </c:pt>
                <c:pt idx="24">
                  <c:v>465.50964199999999</c:v>
                </c:pt>
                <c:pt idx="25">
                  <c:v>465.50964119999998</c:v>
                </c:pt>
                <c:pt idx="26">
                  <c:v>465.50964190000002</c:v>
                </c:pt>
                <c:pt idx="27">
                  <c:v>465.50964169999997</c:v>
                </c:pt>
                <c:pt idx="28">
                  <c:v>465.50964169999997</c:v>
                </c:pt>
                <c:pt idx="29">
                  <c:v>465.50964149999999</c:v>
                </c:pt>
                <c:pt idx="30">
                  <c:v>465.50964169999997</c:v>
                </c:pt>
                <c:pt idx="31">
                  <c:v>465.50964169999997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28-4DFE-B9BD-21D4D0A5E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20001"/>
        <c:axId val="50120002"/>
      </c:areaChart>
      <c:catAx>
        <c:axId val="501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20002"/>
        <c:crosses val="autoZero"/>
        <c:auto val="1"/>
        <c:lblAlgn val="ctr"/>
        <c:lblOffset val="100"/>
        <c:tickLblSkip val="2"/>
        <c:noMultiLvlLbl val="0"/>
      </c:catAx>
      <c:valAx>
        <c:axId val="501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2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Emissions'!$D$87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Emissions'!$B$130:$C$143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Emissions'!$D$130:$D$143</c:f>
              <c:numCache>
                <c:formatCode>General</c:formatCode>
                <c:ptCount val="14"/>
                <c:pt idx="2">
                  <c:v>155602.57332600001</c:v>
                </c:pt>
                <c:pt idx="3">
                  <c:v>241.786316</c:v>
                </c:pt>
                <c:pt idx="4">
                  <c:v>9523683.0892169997</c:v>
                </c:pt>
                <c:pt idx="5">
                  <c:v>0</c:v>
                </c:pt>
                <c:pt idx="6">
                  <c:v>565250.42151799996</c:v>
                </c:pt>
                <c:pt idx="7">
                  <c:v>1163.2933459999999</c:v>
                </c:pt>
                <c:pt idx="8">
                  <c:v>5718148.28773</c:v>
                </c:pt>
                <c:pt idx="9">
                  <c:v>2287259.3491750001</c:v>
                </c:pt>
                <c:pt idx="10">
                  <c:v>15342.180034999999</c:v>
                </c:pt>
                <c:pt idx="11">
                  <c:v>12273.743837</c:v>
                </c:pt>
                <c:pt idx="12">
                  <c:v>235760.713521</c:v>
                </c:pt>
                <c:pt idx="13">
                  <c:v>188512.97415299999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6-4FD0-9B4D-9A687BF748AF}"/>
            </c:ext>
          </c:extLst>
        </c:ser>
        <c:ser>
          <c:idx val="1"/>
          <c:order val="1"/>
          <c:tx>
            <c:strRef>
              <c:f>'Transportation Emissions'!$E$87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Emissions'!$B$130:$C$143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Emissions'!$E$130:$E$143</c:f>
              <c:numCache>
                <c:formatCode>General</c:formatCode>
                <c:ptCount val="14"/>
                <c:pt idx="2">
                  <c:v>8261519.8331279997</c:v>
                </c:pt>
                <c:pt idx="3">
                  <c:v>5204.1842489999999</c:v>
                </c:pt>
                <c:pt idx="4">
                  <c:v>8531533.1454099994</c:v>
                </c:pt>
                <c:pt idx="5">
                  <c:v>0</c:v>
                </c:pt>
                <c:pt idx="6">
                  <c:v>7457037.3025010005</c:v>
                </c:pt>
                <c:pt idx="7">
                  <c:v>6121.6190360000001</c:v>
                </c:pt>
                <c:pt idx="12">
                  <c:v>36218.610944</c:v>
                </c:pt>
                <c:pt idx="13">
                  <c:v>29246.655423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6-4FD0-9B4D-9A687BF748AF}"/>
            </c:ext>
          </c:extLst>
        </c:ser>
        <c:ser>
          <c:idx val="2"/>
          <c:order val="2"/>
          <c:tx>
            <c:strRef>
              <c:f>'Transportation Emissions'!$F$87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Emissions'!$B$130:$C$143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Emissions'!$F$130:$F$143</c:f>
              <c:numCache>
                <c:formatCode>General</c:formatCode>
                <c:ptCount val="14"/>
                <c:pt idx="2">
                  <c:v>5489.35736</c:v>
                </c:pt>
                <c:pt idx="3">
                  <c:v>45441.982341000003</c:v>
                </c:pt>
                <c:pt idx="4">
                  <c:v>0</c:v>
                </c:pt>
                <c:pt idx="5">
                  <c:v>140600.57557099999</c:v>
                </c:pt>
                <c:pt idx="6">
                  <c:v>9101.2821530000001</c:v>
                </c:pt>
                <c:pt idx="7">
                  <c:v>52836.528575999997</c:v>
                </c:pt>
                <c:pt idx="8">
                  <c:v>0</c:v>
                </c:pt>
                <c:pt idx="9">
                  <c:v>32328.751840000001</c:v>
                </c:pt>
                <c:pt idx="10">
                  <c:v>2883.1174249999999</c:v>
                </c:pt>
                <c:pt idx="11">
                  <c:v>199.750136</c:v>
                </c:pt>
                <c:pt idx="12">
                  <c:v>1633.1340990000001</c:v>
                </c:pt>
                <c:pt idx="13">
                  <c:v>113.147929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6-4FD0-9B4D-9A687BF748AF}"/>
            </c:ext>
          </c:extLst>
        </c:ser>
        <c:ser>
          <c:idx val="3"/>
          <c:order val="3"/>
          <c:tx>
            <c:strRef>
              <c:f>'Transportation Emissions'!$G$87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Emissions'!$B$130:$C$143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Emissions'!$G$130:$G$143</c:f>
              <c:numCache>
                <c:formatCode>General</c:formatCode>
                <c:ptCount val="14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6-4FD0-9B4D-9A687BF748AF}"/>
            </c:ext>
          </c:extLst>
        </c:ser>
        <c:ser>
          <c:idx val="4"/>
          <c:order val="4"/>
          <c:tx>
            <c:strRef>
              <c:f>'Transportation Emissions'!$H$87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Emissions'!$B$130:$C$143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Emissions'!$H$130:$H$143</c:f>
              <c:numCache>
                <c:formatCode>General</c:formatCode>
                <c:ptCount val="14"/>
                <c:pt idx="12">
                  <c:v>10900.915784000001</c:v>
                </c:pt>
                <c:pt idx="13">
                  <c:v>9038.2488499999999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96-4FD0-9B4D-9A687BF74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00001"/>
        <c:axId val="51200002"/>
      </c:barChart>
      <c:catAx>
        <c:axId val="512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200002"/>
        <c:crosses val="autoZero"/>
        <c:auto val="1"/>
        <c:lblAlgn val="ctr"/>
        <c:lblOffset val="100"/>
        <c:noMultiLvlLbl val="0"/>
      </c:catAx>
      <c:valAx>
        <c:axId val="512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20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Emissions'!$D$87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Emissions'!$B$144:$C$157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Emissions'!$D$144:$D$157</c:f>
              <c:numCache>
                <c:formatCode>General</c:formatCode>
                <c:ptCount val="14"/>
                <c:pt idx="2">
                  <c:v>155602.57332600001</c:v>
                </c:pt>
                <c:pt idx="3">
                  <c:v>241.786316</c:v>
                </c:pt>
                <c:pt idx="4">
                  <c:v>9523683.0892169997</c:v>
                </c:pt>
                <c:pt idx="5">
                  <c:v>0</c:v>
                </c:pt>
                <c:pt idx="6">
                  <c:v>565250.42151799996</c:v>
                </c:pt>
                <c:pt idx="7">
                  <c:v>1163.2933459999999</c:v>
                </c:pt>
                <c:pt idx="8">
                  <c:v>5718148.28773</c:v>
                </c:pt>
                <c:pt idx="9">
                  <c:v>2287259.3491750001</c:v>
                </c:pt>
                <c:pt idx="10">
                  <c:v>15342.180034999999</c:v>
                </c:pt>
                <c:pt idx="11">
                  <c:v>12273.743837</c:v>
                </c:pt>
                <c:pt idx="12">
                  <c:v>235760.713521</c:v>
                </c:pt>
                <c:pt idx="13">
                  <c:v>188512.97415299999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5-4F42-B399-032362133448}"/>
            </c:ext>
          </c:extLst>
        </c:ser>
        <c:ser>
          <c:idx val="1"/>
          <c:order val="1"/>
          <c:tx>
            <c:strRef>
              <c:f>'Transportation Emissions'!$E$87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Emissions'!$B$144:$C$157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Emissions'!$E$144:$E$157</c:f>
              <c:numCache>
                <c:formatCode>General</c:formatCode>
                <c:ptCount val="14"/>
                <c:pt idx="2">
                  <c:v>8261519.8331279997</c:v>
                </c:pt>
                <c:pt idx="3">
                  <c:v>5204.1842489999999</c:v>
                </c:pt>
                <c:pt idx="4">
                  <c:v>8531533.1454099994</c:v>
                </c:pt>
                <c:pt idx="5">
                  <c:v>0</c:v>
                </c:pt>
                <c:pt idx="6">
                  <c:v>7457037.3025010005</c:v>
                </c:pt>
                <c:pt idx="7">
                  <c:v>6121.6190360000001</c:v>
                </c:pt>
                <c:pt idx="12">
                  <c:v>36218.610944</c:v>
                </c:pt>
                <c:pt idx="13">
                  <c:v>29246.655423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5-4F42-B399-032362133448}"/>
            </c:ext>
          </c:extLst>
        </c:ser>
        <c:ser>
          <c:idx val="2"/>
          <c:order val="2"/>
          <c:tx>
            <c:strRef>
              <c:f>'Transportation Emissions'!$F$87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Emissions'!$B$144:$C$157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Emissions'!$F$144:$F$157</c:f>
              <c:numCache>
                <c:formatCode>General</c:formatCode>
                <c:ptCount val="14"/>
                <c:pt idx="2">
                  <c:v>5489.35736</c:v>
                </c:pt>
                <c:pt idx="3">
                  <c:v>48558.442653999999</c:v>
                </c:pt>
                <c:pt idx="4">
                  <c:v>0</c:v>
                </c:pt>
                <c:pt idx="5">
                  <c:v>34836.452573000002</c:v>
                </c:pt>
                <c:pt idx="6">
                  <c:v>9101.2821530000001</c:v>
                </c:pt>
                <c:pt idx="7">
                  <c:v>56460.115102999996</c:v>
                </c:pt>
                <c:pt idx="8">
                  <c:v>0</c:v>
                </c:pt>
                <c:pt idx="9">
                  <c:v>34545.893346999997</c:v>
                </c:pt>
                <c:pt idx="10">
                  <c:v>2883.1174249999999</c:v>
                </c:pt>
                <c:pt idx="11">
                  <c:v>213.449217</c:v>
                </c:pt>
                <c:pt idx="12">
                  <c:v>1633.1340990000001</c:v>
                </c:pt>
                <c:pt idx="13">
                  <c:v>120.907742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E5-4F42-B399-032362133448}"/>
            </c:ext>
          </c:extLst>
        </c:ser>
        <c:ser>
          <c:idx val="3"/>
          <c:order val="3"/>
          <c:tx>
            <c:strRef>
              <c:f>'Transportation Emissions'!$G$87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Emissions'!$B$144:$C$157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Emissions'!$G$144:$G$157</c:f>
              <c:numCache>
                <c:formatCode>General</c:formatCode>
                <c:ptCount val="14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E5-4F42-B399-032362133448}"/>
            </c:ext>
          </c:extLst>
        </c:ser>
        <c:ser>
          <c:idx val="4"/>
          <c:order val="4"/>
          <c:tx>
            <c:strRef>
              <c:f>'Transportation Emissions'!$H$87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Emissions'!$B$144:$C$157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Aviation</c:v>
                  </c:pt>
                  <c:pt idx="2">
                    <c:v>Car</c:v>
                  </c:pt>
                  <c:pt idx="4">
                    <c:v>Heavy Truck</c:v>
                  </c:pt>
                  <c:pt idx="6">
                    <c:v>Light Truck</c:v>
                  </c:pt>
                  <c:pt idx="8">
                    <c:v>Marine</c:v>
                  </c:pt>
                  <c:pt idx="10">
                    <c:v>Rail</c:v>
                  </c:pt>
                  <c:pt idx="12">
                    <c:v>Urban Bus</c:v>
                  </c:pt>
                </c:lvl>
              </c:multiLvlStrCache>
            </c:multiLvlStrRef>
          </c:cat>
          <c:val>
            <c:numRef>
              <c:f>'Transportation Emissions'!$H$144:$H$157</c:f>
              <c:numCache>
                <c:formatCode>General</c:formatCode>
                <c:ptCount val="14"/>
                <c:pt idx="4">
                  <c:v>0</c:v>
                </c:pt>
                <c:pt idx="5">
                  <c:v>226108.64778200001</c:v>
                </c:pt>
                <c:pt idx="12">
                  <c:v>10900.915784000001</c:v>
                </c:pt>
                <c:pt idx="13">
                  <c:v>9038.2488529999991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5-4F42-B399-03236213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210001"/>
        <c:axId val="51210002"/>
      </c:barChart>
      <c:catAx>
        <c:axId val="512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210002"/>
        <c:crosses val="autoZero"/>
        <c:auto val="1"/>
        <c:lblAlgn val="ctr"/>
        <c:lblOffset val="100"/>
        <c:noMultiLvlLbl val="0"/>
      </c:catAx>
      <c:valAx>
        <c:axId val="512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121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'Emission Reudction Wedges'!$B$3</c:f>
              <c:strCache>
                <c:ptCount val="1"/>
                <c:pt idx="0">
                  <c:v>Carbon liability</c:v>
                </c:pt>
              </c:strCache>
            </c:strRef>
          </c:tx>
          <c:spPr>
            <a:solidFill>
              <a:schemeClr val="bg1">
                <a:lumMod val="75000"/>
                <a:alpha val="50000"/>
              </a:schemeClr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Wedges'!$C$3:$AH$3</c:f>
              <c:numCache>
                <c:formatCode>#,##0</c:formatCode>
                <c:ptCount val="32"/>
                <c:pt idx="0">
                  <c:v>106119</c:v>
                </c:pt>
                <c:pt idx="1">
                  <c:v>105322</c:v>
                </c:pt>
                <c:pt idx="2">
                  <c:v>103640</c:v>
                </c:pt>
                <c:pt idx="3">
                  <c:v>101746</c:v>
                </c:pt>
                <c:pt idx="4">
                  <c:v>99465</c:v>
                </c:pt>
                <c:pt idx="5">
                  <c:v>96509</c:v>
                </c:pt>
                <c:pt idx="6">
                  <c:v>77418</c:v>
                </c:pt>
                <c:pt idx="7">
                  <c:v>73840</c:v>
                </c:pt>
                <c:pt idx="8">
                  <c:v>70209</c:v>
                </c:pt>
                <c:pt idx="9">
                  <c:v>66560</c:v>
                </c:pt>
                <c:pt idx="10">
                  <c:v>62790</c:v>
                </c:pt>
                <c:pt idx="11">
                  <c:v>54569</c:v>
                </c:pt>
                <c:pt idx="12">
                  <c:v>51444</c:v>
                </c:pt>
                <c:pt idx="13">
                  <c:v>48524</c:v>
                </c:pt>
                <c:pt idx="14">
                  <c:v>45759</c:v>
                </c:pt>
                <c:pt idx="15">
                  <c:v>42947</c:v>
                </c:pt>
                <c:pt idx="16">
                  <c:v>40525</c:v>
                </c:pt>
                <c:pt idx="17">
                  <c:v>38676</c:v>
                </c:pt>
                <c:pt idx="18">
                  <c:v>36903</c:v>
                </c:pt>
                <c:pt idx="19">
                  <c:v>35235</c:v>
                </c:pt>
                <c:pt idx="20">
                  <c:v>33847</c:v>
                </c:pt>
                <c:pt idx="21">
                  <c:v>32606</c:v>
                </c:pt>
                <c:pt idx="22">
                  <c:v>31714</c:v>
                </c:pt>
                <c:pt idx="23">
                  <c:v>30883</c:v>
                </c:pt>
                <c:pt idx="24">
                  <c:v>30117</c:v>
                </c:pt>
                <c:pt idx="25">
                  <c:v>29408</c:v>
                </c:pt>
                <c:pt idx="26">
                  <c:v>27576</c:v>
                </c:pt>
                <c:pt idx="27">
                  <c:v>27032</c:v>
                </c:pt>
                <c:pt idx="28">
                  <c:v>26536</c:v>
                </c:pt>
                <c:pt idx="29">
                  <c:v>26080</c:v>
                </c:pt>
                <c:pt idx="30">
                  <c:v>25645</c:v>
                </c:pt>
                <c:pt idx="31">
                  <c:v>25256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2-4CEF-83C2-95666A4870E9}"/>
            </c:ext>
          </c:extLst>
        </c:ser>
        <c:ser>
          <c:idx val="2"/>
          <c:order val="1"/>
          <c:tx>
            <c:strRef>
              <c:f>'Emission Reudction Wedges'!$B$4</c:f>
              <c:strCache>
                <c:ptCount val="1"/>
                <c:pt idx="0">
                  <c:v>Commercial Use Vehicles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Wedges'!$C$4:$AH$4</c:f>
              <c:numCache>
                <c:formatCode>#,##0</c:formatCode>
                <c:ptCount val="32"/>
                <c:pt idx="0">
                  <c:v>0</c:v>
                </c:pt>
                <c:pt idx="1">
                  <c:v>-13</c:v>
                </c:pt>
                <c:pt idx="2">
                  <c:v>446</c:v>
                </c:pt>
                <c:pt idx="3">
                  <c:v>900</c:v>
                </c:pt>
                <c:pt idx="4">
                  <c:v>1348</c:v>
                </c:pt>
                <c:pt idx="5">
                  <c:v>1790</c:v>
                </c:pt>
                <c:pt idx="6">
                  <c:v>2232</c:v>
                </c:pt>
                <c:pt idx="7">
                  <c:v>2662</c:v>
                </c:pt>
                <c:pt idx="8">
                  <c:v>3088</c:v>
                </c:pt>
                <c:pt idx="9">
                  <c:v>3520</c:v>
                </c:pt>
                <c:pt idx="10">
                  <c:v>3960</c:v>
                </c:pt>
                <c:pt idx="11">
                  <c:v>4412</c:v>
                </c:pt>
                <c:pt idx="12">
                  <c:v>4749</c:v>
                </c:pt>
                <c:pt idx="13">
                  <c:v>5079</c:v>
                </c:pt>
                <c:pt idx="14">
                  <c:v>5404</c:v>
                </c:pt>
                <c:pt idx="15">
                  <c:v>5724</c:v>
                </c:pt>
                <c:pt idx="16">
                  <c:v>6037</c:v>
                </c:pt>
                <c:pt idx="17">
                  <c:v>5880</c:v>
                </c:pt>
                <c:pt idx="18">
                  <c:v>5731</c:v>
                </c:pt>
                <c:pt idx="19">
                  <c:v>5589</c:v>
                </c:pt>
                <c:pt idx="20">
                  <c:v>5534</c:v>
                </c:pt>
                <c:pt idx="21">
                  <c:v>5480</c:v>
                </c:pt>
                <c:pt idx="22">
                  <c:v>5427</c:v>
                </c:pt>
                <c:pt idx="23">
                  <c:v>5375</c:v>
                </c:pt>
                <c:pt idx="24">
                  <c:v>5325</c:v>
                </c:pt>
                <c:pt idx="25">
                  <c:v>5275</c:v>
                </c:pt>
                <c:pt idx="26">
                  <c:v>5227</c:v>
                </c:pt>
                <c:pt idx="27">
                  <c:v>5146</c:v>
                </c:pt>
                <c:pt idx="28">
                  <c:v>5066</c:v>
                </c:pt>
                <c:pt idx="29">
                  <c:v>4987</c:v>
                </c:pt>
                <c:pt idx="30">
                  <c:v>4908</c:v>
                </c:pt>
                <c:pt idx="31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2-4CEF-83C2-95666A4870E9}"/>
            </c:ext>
          </c:extLst>
        </c:ser>
        <c:ser>
          <c:idx val="3"/>
          <c:order val="2"/>
          <c:tx>
            <c:strRef>
              <c:f>'Emission Reudction Wedges'!$B$5</c:f>
              <c:strCache>
                <c:ptCount val="1"/>
                <c:pt idx="0">
                  <c:v>Industrial Electrification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Wedges'!$C$5:$AH$5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70</c:v>
                </c:pt>
                <c:pt idx="5">
                  <c:v>174</c:v>
                </c:pt>
                <c:pt idx="6">
                  <c:v>308</c:v>
                </c:pt>
                <c:pt idx="7">
                  <c:v>473</c:v>
                </c:pt>
                <c:pt idx="8">
                  <c:v>667</c:v>
                </c:pt>
                <c:pt idx="9">
                  <c:v>888</c:v>
                </c:pt>
                <c:pt idx="10">
                  <c:v>1137</c:v>
                </c:pt>
                <c:pt idx="11">
                  <c:v>1411</c:v>
                </c:pt>
                <c:pt idx="12">
                  <c:v>1604</c:v>
                </c:pt>
                <c:pt idx="13">
                  <c:v>1799</c:v>
                </c:pt>
                <c:pt idx="14">
                  <c:v>1995</c:v>
                </c:pt>
                <c:pt idx="15">
                  <c:v>2191</c:v>
                </c:pt>
                <c:pt idx="16">
                  <c:v>2389</c:v>
                </c:pt>
                <c:pt idx="17">
                  <c:v>2590</c:v>
                </c:pt>
                <c:pt idx="18">
                  <c:v>2792</c:v>
                </c:pt>
                <c:pt idx="19">
                  <c:v>2995</c:v>
                </c:pt>
                <c:pt idx="20">
                  <c:v>3200</c:v>
                </c:pt>
                <c:pt idx="21">
                  <c:v>3407</c:v>
                </c:pt>
                <c:pt idx="22">
                  <c:v>3611</c:v>
                </c:pt>
                <c:pt idx="23">
                  <c:v>3816</c:v>
                </c:pt>
                <c:pt idx="24">
                  <c:v>4023</c:v>
                </c:pt>
                <c:pt idx="25">
                  <c:v>4231</c:v>
                </c:pt>
                <c:pt idx="26">
                  <c:v>4439</c:v>
                </c:pt>
                <c:pt idx="27">
                  <c:v>4589</c:v>
                </c:pt>
                <c:pt idx="28">
                  <c:v>4736</c:v>
                </c:pt>
                <c:pt idx="29">
                  <c:v>4880</c:v>
                </c:pt>
                <c:pt idx="30">
                  <c:v>5022</c:v>
                </c:pt>
                <c:pt idx="31">
                  <c:v>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22-4CEF-83C2-95666A4870E9}"/>
            </c:ext>
          </c:extLst>
        </c:ser>
        <c:ser>
          <c:idx val="4"/>
          <c:order val="3"/>
          <c:tx>
            <c:strRef>
              <c:f>'Emission Reudction Wedges'!$B$6</c:f>
              <c:strCache>
                <c:ptCount val="1"/>
                <c:pt idx="0">
                  <c:v>Heat Pumps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Wedges'!$C$6:$AH$6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30</c:v>
                </c:pt>
                <c:pt idx="6">
                  <c:v>80</c:v>
                </c:pt>
                <c:pt idx="7">
                  <c:v>147</c:v>
                </c:pt>
                <c:pt idx="8">
                  <c:v>230</c:v>
                </c:pt>
                <c:pt idx="9">
                  <c:v>331</c:v>
                </c:pt>
                <c:pt idx="10">
                  <c:v>562</c:v>
                </c:pt>
                <c:pt idx="11">
                  <c:v>814</c:v>
                </c:pt>
                <c:pt idx="12">
                  <c:v>1065</c:v>
                </c:pt>
                <c:pt idx="13">
                  <c:v>1293</c:v>
                </c:pt>
                <c:pt idx="14">
                  <c:v>1486</c:v>
                </c:pt>
                <c:pt idx="15">
                  <c:v>1635</c:v>
                </c:pt>
                <c:pt idx="16">
                  <c:v>1765</c:v>
                </c:pt>
                <c:pt idx="17">
                  <c:v>1855</c:v>
                </c:pt>
                <c:pt idx="18">
                  <c:v>1910</c:v>
                </c:pt>
                <c:pt idx="19">
                  <c:v>1926</c:v>
                </c:pt>
                <c:pt idx="20">
                  <c:v>1902</c:v>
                </c:pt>
                <c:pt idx="21">
                  <c:v>1871</c:v>
                </c:pt>
                <c:pt idx="22">
                  <c:v>1871</c:v>
                </c:pt>
                <c:pt idx="23">
                  <c:v>1868</c:v>
                </c:pt>
                <c:pt idx="24">
                  <c:v>1849</c:v>
                </c:pt>
                <c:pt idx="25">
                  <c:v>1821</c:v>
                </c:pt>
                <c:pt idx="26">
                  <c:v>1825</c:v>
                </c:pt>
                <c:pt idx="27">
                  <c:v>1814</c:v>
                </c:pt>
                <c:pt idx="28">
                  <c:v>1804</c:v>
                </c:pt>
                <c:pt idx="29">
                  <c:v>1795</c:v>
                </c:pt>
                <c:pt idx="30">
                  <c:v>1773</c:v>
                </c:pt>
                <c:pt idx="31">
                  <c:v>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22-4CEF-83C2-95666A4870E9}"/>
            </c:ext>
          </c:extLst>
        </c:ser>
        <c:ser>
          <c:idx val="5"/>
          <c:order val="4"/>
          <c:tx>
            <c:strRef>
              <c:f>'Emission Reudction Wedges'!$B$7</c:f>
              <c:strCache>
                <c:ptCount val="1"/>
                <c:pt idx="0">
                  <c:v>Residential Decentralized Electricity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Wedges'!$C$7:$AH$7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270</c:v>
                </c:pt>
                <c:pt idx="5">
                  <c:v>484</c:v>
                </c:pt>
                <c:pt idx="6">
                  <c:v>640</c:v>
                </c:pt>
                <c:pt idx="7">
                  <c:v>740</c:v>
                </c:pt>
                <c:pt idx="8">
                  <c:v>782</c:v>
                </c:pt>
                <c:pt idx="9">
                  <c:v>768</c:v>
                </c:pt>
                <c:pt idx="10">
                  <c:v>697</c:v>
                </c:pt>
                <c:pt idx="11">
                  <c:v>569</c:v>
                </c:pt>
                <c:pt idx="12">
                  <c:v>598</c:v>
                </c:pt>
                <c:pt idx="13">
                  <c:v>617</c:v>
                </c:pt>
                <c:pt idx="14">
                  <c:v>626</c:v>
                </c:pt>
                <c:pt idx="15">
                  <c:v>626</c:v>
                </c:pt>
                <c:pt idx="16">
                  <c:v>617</c:v>
                </c:pt>
                <c:pt idx="17">
                  <c:v>555</c:v>
                </c:pt>
                <c:pt idx="18">
                  <c:v>493</c:v>
                </c:pt>
                <c:pt idx="19">
                  <c:v>432</c:v>
                </c:pt>
                <c:pt idx="20">
                  <c:v>370</c:v>
                </c:pt>
                <c:pt idx="21">
                  <c:v>308</c:v>
                </c:pt>
                <c:pt idx="22">
                  <c:v>246</c:v>
                </c:pt>
                <c:pt idx="23">
                  <c:v>185</c:v>
                </c:pt>
                <c:pt idx="24">
                  <c:v>123</c:v>
                </c:pt>
                <c:pt idx="25">
                  <c:v>62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22-4CEF-83C2-95666A4870E9}"/>
            </c:ext>
          </c:extLst>
        </c:ser>
        <c:ser>
          <c:idx val="6"/>
          <c:order val="5"/>
          <c:tx>
            <c:strRef>
              <c:f>'Emission Reudction Wedges'!$B$8</c:f>
              <c:strCache>
                <c:ptCount val="1"/>
                <c:pt idx="0">
                  <c:v>Industrial Efficiency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Wedges'!$C$8:$AH$8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259</c:v>
                </c:pt>
                <c:pt idx="7">
                  <c:v>506</c:v>
                </c:pt>
                <c:pt idx="8">
                  <c:v>742</c:v>
                </c:pt>
                <c:pt idx="9">
                  <c:v>966</c:v>
                </c:pt>
                <c:pt idx="10">
                  <c:v>1179</c:v>
                </c:pt>
                <c:pt idx="11">
                  <c:v>1382</c:v>
                </c:pt>
                <c:pt idx="12">
                  <c:v>1590</c:v>
                </c:pt>
                <c:pt idx="13">
                  <c:v>1791</c:v>
                </c:pt>
                <c:pt idx="14">
                  <c:v>1986</c:v>
                </c:pt>
                <c:pt idx="15">
                  <c:v>2177</c:v>
                </c:pt>
                <c:pt idx="16">
                  <c:v>2361</c:v>
                </c:pt>
                <c:pt idx="17">
                  <c:v>2542</c:v>
                </c:pt>
                <c:pt idx="18">
                  <c:v>2718</c:v>
                </c:pt>
                <c:pt idx="19">
                  <c:v>2889</c:v>
                </c:pt>
                <c:pt idx="20">
                  <c:v>3058</c:v>
                </c:pt>
                <c:pt idx="21">
                  <c:v>3973</c:v>
                </c:pt>
                <c:pt idx="22">
                  <c:v>4134</c:v>
                </c:pt>
                <c:pt idx="23">
                  <c:v>3531</c:v>
                </c:pt>
                <c:pt idx="24">
                  <c:v>3679</c:v>
                </c:pt>
                <c:pt idx="25">
                  <c:v>3824</c:v>
                </c:pt>
                <c:pt idx="26">
                  <c:v>3965</c:v>
                </c:pt>
                <c:pt idx="27">
                  <c:v>4108</c:v>
                </c:pt>
                <c:pt idx="28">
                  <c:v>4247</c:v>
                </c:pt>
                <c:pt idx="29">
                  <c:v>4383</c:v>
                </c:pt>
                <c:pt idx="30">
                  <c:v>4516</c:v>
                </c:pt>
                <c:pt idx="31">
                  <c:v>4647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22-4CEF-83C2-95666A4870E9}"/>
            </c:ext>
          </c:extLst>
        </c:ser>
        <c:ser>
          <c:idx val="7"/>
          <c:order val="6"/>
          <c:tx>
            <c:strRef>
              <c:f>'Emission Reudction Wedges'!$B$9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Wedges'!$C$9:$AH$9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146</c:v>
                </c:pt>
                <c:pt idx="6">
                  <c:v>275</c:v>
                </c:pt>
                <c:pt idx="7">
                  <c:v>408</c:v>
                </c:pt>
                <c:pt idx="8">
                  <c:v>546</c:v>
                </c:pt>
                <c:pt idx="9">
                  <c:v>689</c:v>
                </c:pt>
                <c:pt idx="10">
                  <c:v>836</c:v>
                </c:pt>
                <c:pt idx="11">
                  <c:v>988</c:v>
                </c:pt>
                <c:pt idx="12">
                  <c:v>1115</c:v>
                </c:pt>
                <c:pt idx="13">
                  <c:v>1242</c:v>
                </c:pt>
                <c:pt idx="14">
                  <c:v>1366</c:v>
                </c:pt>
                <c:pt idx="15">
                  <c:v>1486</c:v>
                </c:pt>
                <c:pt idx="16">
                  <c:v>1605</c:v>
                </c:pt>
                <c:pt idx="17">
                  <c:v>1722</c:v>
                </c:pt>
                <c:pt idx="18">
                  <c:v>1836</c:v>
                </c:pt>
                <c:pt idx="19">
                  <c:v>1948</c:v>
                </c:pt>
                <c:pt idx="20">
                  <c:v>2087</c:v>
                </c:pt>
                <c:pt idx="21">
                  <c:v>1476</c:v>
                </c:pt>
                <c:pt idx="22">
                  <c:v>1484</c:v>
                </c:pt>
                <c:pt idx="23">
                  <c:v>2251</c:v>
                </c:pt>
                <c:pt idx="24">
                  <c:v>2263</c:v>
                </c:pt>
                <c:pt idx="25">
                  <c:v>2275</c:v>
                </c:pt>
                <c:pt idx="26">
                  <c:v>2287</c:v>
                </c:pt>
                <c:pt idx="27">
                  <c:v>2287</c:v>
                </c:pt>
                <c:pt idx="28">
                  <c:v>2287</c:v>
                </c:pt>
                <c:pt idx="29">
                  <c:v>2287</c:v>
                </c:pt>
                <c:pt idx="30">
                  <c:v>2287</c:v>
                </c:pt>
                <c:pt idx="31">
                  <c:v>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22-4CEF-83C2-95666A4870E9}"/>
            </c:ext>
          </c:extLst>
        </c:ser>
        <c:ser>
          <c:idx val="8"/>
          <c:order val="7"/>
          <c:tx>
            <c:strRef>
              <c:f>'Emission Reudction Wedges'!$B$10</c:f>
              <c:strCache>
                <c:ptCount val="1"/>
                <c:pt idx="0">
                  <c:v>Building Retrofits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Wedges'!$C$10:$AH$10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44</c:v>
                </c:pt>
                <c:pt idx="4">
                  <c:v>144</c:v>
                </c:pt>
                <c:pt idx="5">
                  <c:v>290</c:v>
                </c:pt>
                <c:pt idx="6">
                  <c:v>432</c:v>
                </c:pt>
                <c:pt idx="7">
                  <c:v>567</c:v>
                </c:pt>
                <c:pt idx="8">
                  <c:v>693</c:v>
                </c:pt>
                <c:pt idx="9">
                  <c:v>800</c:v>
                </c:pt>
                <c:pt idx="10">
                  <c:v>881</c:v>
                </c:pt>
                <c:pt idx="11">
                  <c:v>942</c:v>
                </c:pt>
                <c:pt idx="12">
                  <c:v>1059</c:v>
                </c:pt>
                <c:pt idx="13">
                  <c:v>1168</c:v>
                </c:pt>
                <c:pt idx="14">
                  <c:v>1269</c:v>
                </c:pt>
                <c:pt idx="15">
                  <c:v>1356</c:v>
                </c:pt>
                <c:pt idx="16">
                  <c:v>1468</c:v>
                </c:pt>
                <c:pt idx="17">
                  <c:v>1574</c:v>
                </c:pt>
                <c:pt idx="18">
                  <c:v>1683</c:v>
                </c:pt>
                <c:pt idx="19">
                  <c:v>1794</c:v>
                </c:pt>
                <c:pt idx="20">
                  <c:v>1882</c:v>
                </c:pt>
                <c:pt idx="21">
                  <c:v>1999</c:v>
                </c:pt>
                <c:pt idx="22">
                  <c:v>1885</c:v>
                </c:pt>
                <c:pt idx="23">
                  <c:v>1766</c:v>
                </c:pt>
                <c:pt idx="24">
                  <c:v>1661</c:v>
                </c:pt>
                <c:pt idx="25">
                  <c:v>1530</c:v>
                </c:pt>
                <c:pt idx="26">
                  <c:v>1443</c:v>
                </c:pt>
                <c:pt idx="27">
                  <c:v>1399</c:v>
                </c:pt>
                <c:pt idx="28">
                  <c:v>1359</c:v>
                </c:pt>
                <c:pt idx="29">
                  <c:v>1321</c:v>
                </c:pt>
                <c:pt idx="30">
                  <c:v>1263</c:v>
                </c:pt>
                <c:pt idx="31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22-4CEF-83C2-95666A4870E9}"/>
            </c:ext>
          </c:extLst>
        </c:ser>
        <c:ser>
          <c:idx val="9"/>
          <c:order val="8"/>
          <c:tx>
            <c:strRef>
              <c:f>'Emission Reudction Wedges'!$B$11</c:f>
              <c:strCache>
                <c:ptCount val="1"/>
                <c:pt idx="0">
                  <c:v>Decrease VMT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Wedges'!$C$11:$AH$11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290</c:v>
                </c:pt>
                <c:pt idx="4">
                  <c:v>420</c:v>
                </c:pt>
                <c:pt idx="5">
                  <c:v>536</c:v>
                </c:pt>
                <c:pt idx="6">
                  <c:v>627</c:v>
                </c:pt>
                <c:pt idx="7">
                  <c:v>712</c:v>
                </c:pt>
                <c:pt idx="8">
                  <c:v>777</c:v>
                </c:pt>
                <c:pt idx="9">
                  <c:v>828</c:v>
                </c:pt>
                <c:pt idx="10">
                  <c:v>864</c:v>
                </c:pt>
                <c:pt idx="11">
                  <c:v>892</c:v>
                </c:pt>
                <c:pt idx="12">
                  <c:v>920</c:v>
                </c:pt>
                <c:pt idx="13">
                  <c:v>945</c:v>
                </c:pt>
                <c:pt idx="14">
                  <c:v>966</c:v>
                </c:pt>
                <c:pt idx="15">
                  <c:v>971</c:v>
                </c:pt>
                <c:pt idx="16">
                  <c:v>977</c:v>
                </c:pt>
                <c:pt idx="17">
                  <c:v>956</c:v>
                </c:pt>
                <c:pt idx="18">
                  <c:v>932</c:v>
                </c:pt>
                <c:pt idx="19">
                  <c:v>908</c:v>
                </c:pt>
                <c:pt idx="20">
                  <c:v>896</c:v>
                </c:pt>
                <c:pt idx="21">
                  <c:v>887</c:v>
                </c:pt>
                <c:pt idx="22">
                  <c:v>879</c:v>
                </c:pt>
                <c:pt idx="23">
                  <c:v>871</c:v>
                </c:pt>
                <c:pt idx="24">
                  <c:v>864</c:v>
                </c:pt>
                <c:pt idx="25">
                  <c:v>858</c:v>
                </c:pt>
                <c:pt idx="26">
                  <c:v>852</c:v>
                </c:pt>
                <c:pt idx="27">
                  <c:v>851</c:v>
                </c:pt>
                <c:pt idx="28">
                  <c:v>852</c:v>
                </c:pt>
                <c:pt idx="29">
                  <c:v>853</c:v>
                </c:pt>
                <c:pt idx="30">
                  <c:v>854</c:v>
                </c:pt>
                <c:pt idx="31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22-4CEF-83C2-95666A4870E9}"/>
            </c:ext>
          </c:extLst>
        </c:ser>
        <c:ser>
          <c:idx val="10"/>
          <c:order val="9"/>
          <c:tx>
            <c:strRef>
              <c:f>'Emission Reudction Wedges'!$B$12</c:f>
              <c:strCache>
                <c:ptCount val="1"/>
                <c:pt idx="0">
                  <c:v>Urban Planning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Wedges'!$C$12:$AH$12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157</c:v>
                </c:pt>
                <c:pt idx="3">
                  <c:v>311</c:v>
                </c:pt>
                <c:pt idx="4">
                  <c:v>463</c:v>
                </c:pt>
                <c:pt idx="5">
                  <c:v>599</c:v>
                </c:pt>
                <c:pt idx="6">
                  <c:v>686</c:v>
                </c:pt>
                <c:pt idx="7">
                  <c:v>777</c:v>
                </c:pt>
                <c:pt idx="8">
                  <c:v>841</c:v>
                </c:pt>
                <c:pt idx="9">
                  <c:v>878</c:v>
                </c:pt>
                <c:pt idx="10">
                  <c:v>890</c:v>
                </c:pt>
                <c:pt idx="11">
                  <c:v>888</c:v>
                </c:pt>
                <c:pt idx="12">
                  <c:v>893</c:v>
                </c:pt>
                <c:pt idx="13">
                  <c:v>899</c:v>
                </c:pt>
                <c:pt idx="14">
                  <c:v>897</c:v>
                </c:pt>
                <c:pt idx="15">
                  <c:v>863</c:v>
                </c:pt>
                <c:pt idx="16">
                  <c:v>839</c:v>
                </c:pt>
                <c:pt idx="17">
                  <c:v>792</c:v>
                </c:pt>
                <c:pt idx="18">
                  <c:v>729</c:v>
                </c:pt>
                <c:pt idx="19">
                  <c:v>655</c:v>
                </c:pt>
                <c:pt idx="20">
                  <c:v>583</c:v>
                </c:pt>
                <c:pt idx="21">
                  <c:v>509</c:v>
                </c:pt>
                <c:pt idx="22">
                  <c:v>409</c:v>
                </c:pt>
                <c:pt idx="23">
                  <c:v>318</c:v>
                </c:pt>
                <c:pt idx="24">
                  <c:v>238</c:v>
                </c:pt>
                <c:pt idx="25">
                  <c:v>170</c:v>
                </c:pt>
                <c:pt idx="26">
                  <c:v>114</c:v>
                </c:pt>
                <c:pt idx="27">
                  <c:v>81</c:v>
                </c:pt>
                <c:pt idx="28">
                  <c:v>58</c:v>
                </c:pt>
                <c:pt idx="29">
                  <c:v>44</c:v>
                </c:pt>
                <c:pt idx="30">
                  <c:v>35</c:v>
                </c:pt>
                <c:pt idx="3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22-4CEF-83C2-95666A4870E9}"/>
            </c:ext>
          </c:extLst>
        </c:ser>
        <c:ser>
          <c:idx val="11"/>
          <c:order val="10"/>
          <c:tx>
            <c:strRef>
              <c:f>'Emission Reudction Wedges'!$B$13</c:f>
              <c:strCache>
                <c:ptCount val="1"/>
                <c:pt idx="0">
                  <c:v>Transit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Wedges'!$C$13:$AH$13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121</c:v>
                </c:pt>
                <c:pt idx="3">
                  <c:v>233</c:v>
                </c:pt>
                <c:pt idx="4">
                  <c:v>341</c:v>
                </c:pt>
                <c:pt idx="5">
                  <c:v>435</c:v>
                </c:pt>
                <c:pt idx="6">
                  <c:v>491</c:v>
                </c:pt>
                <c:pt idx="7">
                  <c:v>549</c:v>
                </c:pt>
                <c:pt idx="8">
                  <c:v>587</c:v>
                </c:pt>
                <c:pt idx="9">
                  <c:v>603</c:v>
                </c:pt>
                <c:pt idx="10">
                  <c:v>602</c:v>
                </c:pt>
                <c:pt idx="11">
                  <c:v>595</c:v>
                </c:pt>
                <c:pt idx="12">
                  <c:v>591</c:v>
                </c:pt>
                <c:pt idx="13">
                  <c:v>585</c:v>
                </c:pt>
                <c:pt idx="14">
                  <c:v>576</c:v>
                </c:pt>
                <c:pt idx="15">
                  <c:v>545</c:v>
                </c:pt>
                <c:pt idx="16">
                  <c:v>522</c:v>
                </c:pt>
                <c:pt idx="17">
                  <c:v>483</c:v>
                </c:pt>
                <c:pt idx="18">
                  <c:v>435</c:v>
                </c:pt>
                <c:pt idx="19">
                  <c:v>383</c:v>
                </c:pt>
                <c:pt idx="20">
                  <c:v>333</c:v>
                </c:pt>
                <c:pt idx="21">
                  <c:v>284</c:v>
                </c:pt>
                <c:pt idx="22">
                  <c:v>227</c:v>
                </c:pt>
                <c:pt idx="23">
                  <c:v>175</c:v>
                </c:pt>
                <c:pt idx="24">
                  <c:v>129</c:v>
                </c:pt>
                <c:pt idx="25">
                  <c:v>89</c:v>
                </c:pt>
                <c:pt idx="26">
                  <c:v>56</c:v>
                </c:pt>
                <c:pt idx="27">
                  <c:v>36</c:v>
                </c:pt>
                <c:pt idx="28">
                  <c:v>21</c:v>
                </c:pt>
                <c:pt idx="29">
                  <c:v>11</c:v>
                </c:pt>
                <c:pt idx="30">
                  <c:v>5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22-4CEF-83C2-95666A4870E9}"/>
            </c:ext>
          </c:extLst>
        </c:ser>
        <c:ser>
          <c:idx val="12"/>
          <c:order val="11"/>
          <c:tx>
            <c:strRef>
              <c:f>'Emission Reudction Wedges'!$B$14</c:f>
              <c:strCache>
                <c:ptCount val="1"/>
                <c:pt idx="0">
                  <c:v>CETA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Wedges'!$C$14:$AH$14</c:f>
              <c:numCache>
                <c:formatCode>#,##0</c:formatCode>
                <c:ptCount val="32"/>
                <c:pt idx="0">
                  <c:v>0</c:v>
                </c:pt>
                <c:pt idx="1">
                  <c:v>100.3</c:v>
                </c:pt>
                <c:pt idx="2">
                  <c:v>139.69999999999999</c:v>
                </c:pt>
                <c:pt idx="3">
                  <c:v>202.7</c:v>
                </c:pt>
                <c:pt idx="4">
                  <c:v>290</c:v>
                </c:pt>
                <c:pt idx="5">
                  <c:v>401.7</c:v>
                </c:pt>
                <c:pt idx="6">
                  <c:v>15843.47</c:v>
                </c:pt>
                <c:pt idx="7">
                  <c:v>16148.51</c:v>
                </c:pt>
                <c:pt idx="8">
                  <c:v>16466.25</c:v>
                </c:pt>
                <c:pt idx="9">
                  <c:v>16794.95</c:v>
                </c:pt>
                <c:pt idx="10">
                  <c:v>17133.900000000001</c:v>
                </c:pt>
                <c:pt idx="11">
                  <c:v>22228</c:v>
                </c:pt>
                <c:pt idx="12">
                  <c:v>22325.31</c:v>
                </c:pt>
                <c:pt idx="13">
                  <c:v>22423.439999999999</c:v>
                </c:pt>
                <c:pt idx="14">
                  <c:v>22526.23</c:v>
                </c:pt>
                <c:pt idx="15">
                  <c:v>22630.47</c:v>
                </c:pt>
                <c:pt idx="16">
                  <c:v>22737.55</c:v>
                </c:pt>
                <c:pt idx="17">
                  <c:v>22837.24</c:v>
                </c:pt>
                <c:pt idx="18">
                  <c:v>22938.04</c:v>
                </c:pt>
                <c:pt idx="19">
                  <c:v>23040.22</c:v>
                </c:pt>
                <c:pt idx="20">
                  <c:v>23143.919999999998</c:v>
                </c:pt>
                <c:pt idx="21">
                  <c:v>23248.85</c:v>
                </c:pt>
                <c:pt idx="22">
                  <c:v>23356.42</c:v>
                </c:pt>
                <c:pt idx="23">
                  <c:v>23464.98</c:v>
                </c:pt>
                <c:pt idx="24">
                  <c:v>23574.68</c:v>
                </c:pt>
                <c:pt idx="25">
                  <c:v>23685.63</c:v>
                </c:pt>
                <c:pt idx="26">
                  <c:v>25001.93</c:v>
                </c:pt>
                <c:pt idx="27">
                  <c:v>25048.23</c:v>
                </c:pt>
                <c:pt idx="28">
                  <c:v>25094.95</c:v>
                </c:pt>
                <c:pt idx="29">
                  <c:v>25141.87</c:v>
                </c:pt>
                <c:pt idx="30">
                  <c:v>25189.07</c:v>
                </c:pt>
                <c:pt idx="31">
                  <c:v>25236.3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22-4CEF-83C2-95666A4870E9}"/>
            </c:ext>
          </c:extLst>
        </c:ser>
        <c:ser>
          <c:idx val="13"/>
          <c:order val="12"/>
          <c:tx>
            <c:strRef>
              <c:f>'Emission Reudction Wedges'!$B$15</c:f>
              <c:strCache>
                <c:ptCount val="1"/>
                <c:pt idx="0">
                  <c:v>BAP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Wedges'!$C$2:$AH$2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Wedges'!$C$15:$AH$15</c:f>
              <c:numCache>
                <c:formatCode>#,##0</c:formatCode>
                <c:ptCount val="32"/>
                <c:pt idx="0">
                  <c:v>0</c:v>
                </c:pt>
                <c:pt idx="1">
                  <c:v>211.5</c:v>
                </c:pt>
                <c:pt idx="2">
                  <c:v>1087</c:v>
                </c:pt>
                <c:pt idx="3">
                  <c:v>1983.6</c:v>
                </c:pt>
                <c:pt idx="4">
                  <c:v>2902.4</c:v>
                </c:pt>
                <c:pt idx="5">
                  <c:v>4128.1000000000004</c:v>
                </c:pt>
                <c:pt idx="6">
                  <c:v>5210.5</c:v>
                </c:pt>
                <c:pt idx="7">
                  <c:v>6368.02</c:v>
                </c:pt>
                <c:pt idx="8">
                  <c:v>7604.2</c:v>
                </c:pt>
                <c:pt idx="9">
                  <c:v>8949.33</c:v>
                </c:pt>
                <c:pt idx="10">
                  <c:v>10477.59</c:v>
                </c:pt>
                <c:pt idx="11">
                  <c:v>12014.57</c:v>
                </c:pt>
                <c:pt idx="12">
                  <c:v>13599.01</c:v>
                </c:pt>
                <c:pt idx="13">
                  <c:v>15189.25</c:v>
                </c:pt>
                <c:pt idx="14">
                  <c:v>16772.89</c:v>
                </c:pt>
                <c:pt idx="15">
                  <c:v>18434</c:v>
                </c:pt>
                <c:pt idx="16">
                  <c:v>19863.68</c:v>
                </c:pt>
                <c:pt idx="17">
                  <c:v>21312.18</c:v>
                </c:pt>
                <c:pt idx="18">
                  <c:v>22741.98</c:v>
                </c:pt>
                <c:pt idx="19">
                  <c:v>24126.81</c:v>
                </c:pt>
                <c:pt idx="20">
                  <c:v>25196.41</c:v>
                </c:pt>
                <c:pt idx="21">
                  <c:v>26121.02</c:v>
                </c:pt>
                <c:pt idx="22">
                  <c:v>27036.34</c:v>
                </c:pt>
                <c:pt idx="23">
                  <c:v>27876.95</c:v>
                </c:pt>
                <c:pt idx="24">
                  <c:v>28630.68</c:v>
                </c:pt>
                <c:pt idx="25">
                  <c:v>29348.33</c:v>
                </c:pt>
                <c:pt idx="26">
                  <c:v>29903.32</c:v>
                </c:pt>
                <c:pt idx="27">
                  <c:v>30417.82</c:v>
                </c:pt>
                <c:pt idx="28">
                  <c:v>30890.07</c:v>
                </c:pt>
                <c:pt idx="29">
                  <c:v>31333.17</c:v>
                </c:pt>
                <c:pt idx="30">
                  <c:v>31803.93</c:v>
                </c:pt>
                <c:pt idx="31">
                  <c:v>32165.23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22-4CEF-83C2-95666A487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835679"/>
        <c:axId val="1167833599"/>
      </c:areaChart>
      <c:lineChart>
        <c:grouping val="standard"/>
        <c:varyColors val="0"/>
        <c:ser>
          <c:idx val="14"/>
          <c:order val="13"/>
          <c:tx>
            <c:strRef>
              <c:f>'Emission Reudction Wedges'!$B$16</c:f>
              <c:strCache>
                <c:ptCount val="1"/>
                <c:pt idx="0">
                  <c:v>2030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'Emission Reudction Wedges'!$C$16:$AH$16</c:f>
              <c:numCache>
                <c:formatCode>#,##0</c:formatCode>
                <c:ptCount val="32"/>
                <c:pt idx="0">
                  <c:v>49770</c:v>
                </c:pt>
                <c:pt idx="1">
                  <c:v>49770</c:v>
                </c:pt>
                <c:pt idx="2">
                  <c:v>49770</c:v>
                </c:pt>
                <c:pt idx="3">
                  <c:v>49770</c:v>
                </c:pt>
                <c:pt idx="4">
                  <c:v>49770</c:v>
                </c:pt>
                <c:pt idx="5">
                  <c:v>49770</c:v>
                </c:pt>
                <c:pt idx="6">
                  <c:v>49770</c:v>
                </c:pt>
                <c:pt idx="7">
                  <c:v>49770</c:v>
                </c:pt>
                <c:pt idx="8">
                  <c:v>49770</c:v>
                </c:pt>
                <c:pt idx="9">
                  <c:v>49770</c:v>
                </c:pt>
                <c:pt idx="10">
                  <c:v>49770</c:v>
                </c:pt>
                <c:pt idx="11">
                  <c:v>49770</c:v>
                </c:pt>
                <c:pt idx="12">
                  <c:v>49770</c:v>
                </c:pt>
                <c:pt idx="13">
                  <c:v>49770</c:v>
                </c:pt>
                <c:pt idx="14">
                  <c:v>49770</c:v>
                </c:pt>
                <c:pt idx="15">
                  <c:v>49770</c:v>
                </c:pt>
                <c:pt idx="16">
                  <c:v>49770</c:v>
                </c:pt>
                <c:pt idx="17">
                  <c:v>49770</c:v>
                </c:pt>
                <c:pt idx="18">
                  <c:v>49770</c:v>
                </c:pt>
                <c:pt idx="19">
                  <c:v>49770</c:v>
                </c:pt>
                <c:pt idx="20">
                  <c:v>49770</c:v>
                </c:pt>
                <c:pt idx="21">
                  <c:v>49770</c:v>
                </c:pt>
                <c:pt idx="22">
                  <c:v>49770</c:v>
                </c:pt>
                <c:pt idx="23">
                  <c:v>49770</c:v>
                </c:pt>
                <c:pt idx="24">
                  <c:v>49770</c:v>
                </c:pt>
                <c:pt idx="25">
                  <c:v>49770</c:v>
                </c:pt>
                <c:pt idx="26">
                  <c:v>49770</c:v>
                </c:pt>
                <c:pt idx="27">
                  <c:v>49770</c:v>
                </c:pt>
                <c:pt idx="28">
                  <c:v>49770</c:v>
                </c:pt>
                <c:pt idx="29">
                  <c:v>49770</c:v>
                </c:pt>
                <c:pt idx="30">
                  <c:v>49770</c:v>
                </c:pt>
                <c:pt idx="31">
                  <c:v>49770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22-4CEF-83C2-95666A4870E9}"/>
            </c:ext>
          </c:extLst>
        </c:ser>
        <c:ser>
          <c:idx val="15"/>
          <c:order val="14"/>
          <c:tx>
            <c:strRef>
              <c:f>'Emission Reudction Wedges'!$B$17</c:f>
              <c:strCache>
                <c:ptCount val="1"/>
                <c:pt idx="0">
                  <c:v>2040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'Emission Reudction Wedges'!$C$17:$AH$17</c:f>
              <c:numCache>
                <c:formatCode>#,##0</c:formatCode>
                <c:ptCount val="32"/>
                <c:pt idx="0">
                  <c:v>27147</c:v>
                </c:pt>
                <c:pt idx="1">
                  <c:v>27147</c:v>
                </c:pt>
                <c:pt idx="2">
                  <c:v>27147</c:v>
                </c:pt>
                <c:pt idx="3">
                  <c:v>27147</c:v>
                </c:pt>
                <c:pt idx="4">
                  <c:v>27147</c:v>
                </c:pt>
                <c:pt idx="5">
                  <c:v>27147</c:v>
                </c:pt>
                <c:pt idx="6">
                  <c:v>27147</c:v>
                </c:pt>
                <c:pt idx="7">
                  <c:v>27147</c:v>
                </c:pt>
                <c:pt idx="8">
                  <c:v>27147</c:v>
                </c:pt>
                <c:pt idx="9">
                  <c:v>27147</c:v>
                </c:pt>
                <c:pt idx="10">
                  <c:v>27147</c:v>
                </c:pt>
                <c:pt idx="11">
                  <c:v>27147</c:v>
                </c:pt>
                <c:pt idx="12">
                  <c:v>27147</c:v>
                </c:pt>
                <c:pt idx="13">
                  <c:v>27147</c:v>
                </c:pt>
                <c:pt idx="14">
                  <c:v>27147</c:v>
                </c:pt>
                <c:pt idx="15">
                  <c:v>27147</c:v>
                </c:pt>
                <c:pt idx="16">
                  <c:v>27147</c:v>
                </c:pt>
                <c:pt idx="17">
                  <c:v>27147</c:v>
                </c:pt>
                <c:pt idx="18">
                  <c:v>27147</c:v>
                </c:pt>
                <c:pt idx="19">
                  <c:v>27147</c:v>
                </c:pt>
                <c:pt idx="20">
                  <c:v>27147</c:v>
                </c:pt>
                <c:pt idx="21">
                  <c:v>27147</c:v>
                </c:pt>
                <c:pt idx="22">
                  <c:v>27147</c:v>
                </c:pt>
                <c:pt idx="23">
                  <c:v>27147</c:v>
                </c:pt>
                <c:pt idx="24">
                  <c:v>27147</c:v>
                </c:pt>
                <c:pt idx="25">
                  <c:v>27147</c:v>
                </c:pt>
                <c:pt idx="26">
                  <c:v>27147</c:v>
                </c:pt>
                <c:pt idx="27">
                  <c:v>27147</c:v>
                </c:pt>
                <c:pt idx="28">
                  <c:v>27147</c:v>
                </c:pt>
                <c:pt idx="29">
                  <c:v>27147</c:v>
                </c:pt>
                <c:pt idx="30">
                  <c:v>27147</c:v>
                </c:pt>
                <c:pt idx="31">
                  <c:v>27147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022-4CEF-83C2-95666A4870E9}"/>
            </c:ext>
          </c:extLst>
        </c:ser>
        <c:ser>
          <c:idx val="16"/>
          <c:order val="15"/>
          <c:tx>
            <c:strRef>
              <c:f>'Emission Reudction Wedges'!$B$18</c:f>
              <c:strCache>
                <c:ptCount val="1"/>
                <c:pt idx="0">
                  <c:v>2050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'Emission Reudction Wedges'!$C$18:$AH$18</c:f>
              <c:numCache>
                <c:formatCode>#,##0</c:formatCode>
                <c:ptCount val="32"/>
                <c:pt idx="0">
                  <c:v>9049</c:v>
                </c:pt>
                <c:pt idx="1">
                  <c:v>9049</c:v>
                </c:pt>
                <c:pt idx="2">
                  <c:v>9049</c:v>
                </c:pt>
                <c:pt idx="3">
                  <c:v>9049</c:v>
                </c:pt>
                <c:pt idx="4">
                  <c:v>9049</c:v>
                </c:pt>
                <c:pt idx="5">
                  <c:v>9049</c:v>
                </c:pt>
                <c:pt idx="6">
                  <c:v>9049</c:v>
                </c:pt>
                <c:pt idx="7">
                  <c:v>9049</c:v>
                </c:pt>
                <c:pt idx="8">
                  <c:v>9049</c:v>
                </c:pt>
                <c:pt idx="9">
                  <c:v>9049</c:v>
                </c:pt>
                <c:pt idx="10">
                  <c:v>9049</c:v>
                </c:pt>
                <c:pt idx="11">
                  <c:v>9049</c:v>
                </c:pt>
                <c:pt idx="12">
                  <c:v>9049</c:v>
                </c:pt>
                <c:pt idx="13">
                  <c:v>9049</c:v>
                </c:pt>
                <c:pt idx="14">
                  <c:v>9049</c:v>
                </c:pt>
                <c:pt idx="15">
                  <c:v>9049</c:v>
                </c:pt>
                <c:pt idx="16">
                  <c:v>9049</c:v>
                </c:pt>
                <c:pt idx="17">
                  <c:v>9049</c:v>
                </c:pt>
                <c:pt idx="18">
                  <c:v>9049</c:v>
                </c:pt>
                <c:pt idx="19">
                  <c:v>9049</c:v>
                </c:pt>
                <c:pt idx="20">
                  <c:v>9049</c:v>
                </c:pt>
                <c:pt idx="21">
                  <c:v>9049</c:v>
                </c:pt>
                <c:pt idx="22">
                  <c:v>9049</c:v>
                </c:pt>
                <c:pt idx="23">
                  <c:v>9049</c:v>
                </c:pt>
                <c:pt idx="24">
                  <c:v>9049</c:v>
                </c:pt>
                <c:pt idx="25">
                  <c:v>9049</c:v>
                </c:pt>
                <c:pt idx="26">
                  <c:v>9049</c:v>
                </c:pt>
                <c:pt idx="27">
                  <c:v>9049</c:v>
                </c:pt>
                <c:pt idx="28">
                  <c:v>9049</c:v>
                </c:pt>
                <c:pt idx="29">
                  <c:v>9049</c:v>
                </c:pt>
                <c:pt idx="30">
                  <c:v>9049</c:v>
                </c:pt>
                <c:pt idx="31">
                  <c:v>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022-4CEF-83C2-95666A487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835679"/>
        <c:axId val="1167833599"/>
      </c:lineChart>
      <c:catAx>
        <c:axId val="116783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833599"/>
        <c:crosses val="autoZero"/>
        <c:auto val="1"/>
        <c:lblAlgn val="ctr"/>
        <c:lblOffset val="100"/>
        <c:noMultiLvlLbl val="0"/>
      </c:catAx>
      <c:valAx>
        <c:axId val="116783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MTCO2e (million)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7835679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'Emission Reudction Wedges'!$B$21</c:f>
              <c:strCache>
                <c:ptCount val="1"/>
                <c:pt idx="0">
                  <c:v>Carbon liability</c:v>
                </c:pt>
              </c:strCache>
            </c:strRef>
          </c:tx>
          <c:spPr>
            <a:solidFill>
              <a:schemeClr val="bg1">
                <a:lumMod val="75000"/>
                <a:alpha val="5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Wedges'!$C$21:$AH$21</c:f>
              <c:numCache>
                <c:formatCode>#,##0</c:formatCode>
                <c:ptCount val="32"/>
                <c:pt idx="0">
                  <c:v>106119.39</c:v>
                </c:pt>
                <c:pt idx="1">
                  <c:v>105312.2</c:v>
                </c:pt>
                <c:pt idx="2">
                  <c:v>103585.73</c:v>
                </c:pt>
                <c:pt idx="3">
                  <c:v>101944.43</c:v>
                </c:pt>
                <c:pt idx="4">
                  <c:v>99861.37</c:v>
                </c:pt>
                <c:pt idx="5">
                  <c:v>96922.04</c:v>
                </c:pt>
                <c:pt idx="6">
                  <c:v>77786.929999999993</c:v>
                </c:pt>
                <c:pt idx="7">
                  <c:v>73944.06</c:v>
                </c:pt>
                <c:pt idx="8">
                  <c:v>69994.850000000006</c:v>
                </c:pt>
                <c:pt idx="9">
                  <c:v>65982.84</c:v>
                </c:pt>
                <c:pt idx="10">
                  <c:v>61881.99</c:v>
                </c:pt>
                <c:pt idx="11">
                  <c:v>53301.99</c:v>
                </c:pt>
                <c:pt idx="12">
                  <c:v>49683.05</c:v>
                </c:pt>
                <c:pt idx="13">
                  <c:v>46272.37</c:v>
                </c:pt>
                <c:pt idx="14">
                  <c:v>43015.9</c:v>
                </c:pt>
                <c:pt idx="15">
                  <c:v>39705.199999999997</c:v>
                </c:pt>
                <c:pt idx="16">
                  <c:v>36765.89</c:v>
                </c:pt>
                <c:pt idx="17">
                  <c:v>34790.83</c:v>
                </c:pt>
                <c:pt idx="18">
                  <c:v>32875.879999999997</c:v>
                </c:pt>
                <c:pt idx="19">
                  <c:v>31048.400000000001</c:v>
                </c:pt>
                <c:pt idx="20">
                  <c:v>29475.91</c:v>
                </c:pt>
                <c:pt idx="21">
                  <c:v>28045.42</c:v>
                </c:pt>
                <c:pt idx="22">
                  <c:v>27113.4</c:v>
                </c:pt>
                <c:pt idx="23">
                  <c:v>26242.26</c:v>
                </c:pt>
                <c:pt idx="24">
                  <c:v>25435.42</c:v>
                </c:pt>
                <c:pt idx="25">
                  <c:v>24683.66</c:v>
                </c:pt>
                <c:pt idx="26">
                  <c:v>22834.26</c:v>
                </c:pt>
                <c:pt idx="27">
                  <c:v>22307.17</c:v>
                </c:pt>
                <c:pt idx="28">
                  <c:v>21827.32</c:v>
                </c:pt>
                <c:pt idx="29">
                  <c:v>21402.09</c:v>
                </c:pt>
                <c:pt idx="30">
                  <c:v>21044.59</c:v>
                </c:pt>
                <c:pt idx="31">
                  <c:v>20708.689999999999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F-4C81-A585-6BB2BD38D188}"/>
            </c:ext>
          </c:extLst>
        </c:ser>
        <c:ser>
          <c:idx val="2"/>
          <c:order val="1"/>
          <c:tx>
            <c:strRef>
              <c:f>'Emission Reudction Wedges'!$B$22</c:f>
              <c:strCache>
                <c:ptCount val="1"/>
                <c:pt idx="0">
                  <c:v>Commercial Use Vehicles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Wedges'!$C$22:$AH$22</c:f>
              <c:numCache>
                <c:formatCode>#,##0</c:formatCode>
                <c:ptCount val="32"/>
                <c:pt idx="0">
                  <c:v>0</c:v>
                </c:pt>
                <c:pt idx="1">
                  <c:v>-3.33</c:v>
                </c:pt>
                <c:pt idx="2">
                  <c:v>500.09</c:v>
                </c:pt>
                <c:pt idx="3">
                  <c:v>980.52</c:v>
                </c:pt>
                <c:pt idx="4">
                  <c:v>1438.25</c:v>
                </c:pt>
                <c:pt idx="5">
                  <c:v>1873.8</c:v>
                </c:pt>
                <c:pt idx="6">
                  <c:v>2289.5300000000002</c:v>
                </c:pt>
                <c:pt idx="7">
                  <c:v>2674.44</c:v>
                </c:pt>
                <c:pt idx="8">
                  <c:v>3037.14</c:v>
                </c:pt>
                <c:pt idx="9">
                  <c:v>3384.49</c:v>
                </c:pt>
                <c:pt idx="10">
                  <c:v>3719.53</c:v>
                </c:pt>
                <c:pt idx="11">
                  <c:v>4046.08</c:v>
                </c:pt>
                <c:pt idx="12">
                  <c:v>4360.54</c:v>
                </c:pt>
                <c:pt idx="13">
                  <c:v>4669.3100000000004</c:v>
                </c:pt>
                <c:pt idx="14">
                  <c:v>4972.74</c:v>
                </c:pt>
                <c:pt idx="15">
                  <c:v>5270.76</c:v>
                </c:pt>
                <c:pt idx="16">
                  <c:v>5563.26</c:v>
                </c:pt>
                <c:pt idx="17">
                  <c:v>5411.39</c:v>
                </c:pt>
                <c:pt idx="18">
                  <c:v>5266.77</c:v>
                </c:pt>
                <c:pt idx="19">
                  <c:v>5128.5200000000004</c:v>
                </c:pt>
                <c:pt idx="20">
                  <c:v>5075.5600000000004</c:v>
                </c:pt>
                <c:pt idx="21">
                  <c:v>5016.82</c:v>
                </c:pt>
                <c:pt idx="22">
                  <c:v>4965.43</c:v>
                </c:pt>
                <c:pt idx="23">
                  <c:v>4916.5600000000004</c:v>
                </c:pt>
                <c:pt idx="24">
                  <c:v>4869.8599999999997</c:v>
                </c:pt>
                <c:pt idx="25">
                  <c:v>4824.97</c:v>
                </c:pt>
                <c:pt idx="26">
                  <c:v>5536.3</c:v>
                </c:pt>
                <c:pt idx="27">
                  <c:v>5495.86</c:v>
                </c:pt>
                <c:pt idx="28">
                  <c:v>5456.48</c:v>
                </c:pt>
                <c:pt idx="29">
                  <c:v>5418.06</c:v>
                </c:pt>
                <c:pt idx="30">
                  <c:v>5380.57</c:v>
                </c:pt>
                <c:pt idx="31">
                  <c:v>5343.98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F-4C81-A585-6BB2BD38D188}"/>
            </c:ext>
          </c:extLst>
        </c:ser>
        <c:ser>
          <c:idx val="3"/>
          <c:order val="2"/>
          <c:tx>
            <c:strRef>
              <c:f>'Emission Reudction Wedges'!$B$23</c:f>
              <c:strCache>
                <c:ptCount val="1"/>
                <c:pt idx="0">
                  <c:v>Industrial Hydrogen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Wedges'!$C$23:$AH$23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1.2</c:v>
                </c:pt>
                <c:pt idx="4">
                  <c:v>225.9</c:v>
                </c:pt>
                <c:pt idx="5">
                  <c:v>450.6</c:v>
                </c:pt>
                <c:pt idx="6">
                  <c:v>664.59</c:v>
                </c:pt>
                <c:pt idx="7">
                  <c:v>872.76</c:v>
                </c:pt>
                <c:pt idx="8">
                  <c:v>1074.94</c:v>
                </c:pt>
                <c:pt idx="9">
                  <c:v>1271.3800000000001</c:v>
                </c:pt>
                <c:pt idx="10">
                  <c:v>1462.34</c:v>
                </c:pt>
                <c:pt idx="11">
                  <c:v>1648.03</c:v>
                </c:pt>
                <c:pt idx="12">
                  <c:v>2060.62</c:v>
                </c:pt>
                <c:pt idx="13">
                  <c:v>2462.7800000000002</c:v>
                </c:pt>
                <c:pt idx="14">
                  <c:v>2854.93</c:v>
                </c:pt>
                <c:pt idx="15">
                  <c:v>3237.48</c:v>
                </c:pt>
                <c:pt idx="16">
                  <c:v>3610.8</c:v>
                </c:pt>
                <c:pt idx="17">
                  <c:v>3808.3</c:v>
                </c:pt>
                <c:pt idx="18">
                  <c:v>4001.57</c:v>
                </c:pt>
                <c:pt idx="19">
                  <c:v>4190.7700000000004</c:v>
                </c:pt>
                <c:pt idx="20">
                  <c:v>4376.0600000000004</c:v>
                </c:pt>
                <c:pt idx="21">
                  <c:v>4557.59</c:v>
                </c:pt>
                <c:pt idx="22">
                  <c:v>4731.1400000000003</c:v>
                </c:pt>
                <c:pt idx="23">
                  <c:v>4900.8999999999996</c:v>
                </c:pt>
                <c:pt idx="24">
                  <c:v>5066.9799999999996</c:v>
                </c:pt>
                <c:pt idx="25">
                  <c:v>5229.53</c:v>
                </c:pt>
                <c:pt idx="26">
                  <c:v>5388.67</c:v>
                </c:pt>
                <c:pt idx="27">
                  <c:v>5540.81</c:v>
                </c:pt>
                <c:pt idx="28">
                  <c:v>5689.56</c:v>
                </c:pt>
                <c:pt idx="29">
                  <c:v>5835.05</c:v>
                </c:pt>
                <c:pt idx="30">
                  <c:v>5977.38</c:v>
                </c:pt>
                <c:pt idx="31">
                  <c:v>6116.66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F-4C81-A585-6BB2BD38D188}"/>
            </c:ext>
          </c:extLst>
        </c:ser>
        <c:ser>
          <c:idx val="4"/>
          <c:order val="3"/>
          <c:tx>
            <c:strRef>
              <c:f>'Emission Reudction Wedges'!$B$24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Wedges'!$C$24:$AH$24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91.43</c:v>
                </c:pt>
                <c:pt idx="5">
                  <c:v>218.6</c:v>
                </c:pt>
                <c:pt idx="6">
                  <c:v>340.37</c:v>
                </c:pt>
                <c:pt idx="7">
                  <c:v>621.82000000000005</c:v>
                </c:pt>
                <c:pt idx="8">
                  <c:v>899.72</c:v>
                </c:pt>
                <c:pt idx="9">
                  <c:v>1174.28</c:v>
                </c:pt>
                <c:pt idx="10">
                  <c:v>1446.89</c:v>
                </c:pt>
                <c:pt idx="11">
                  <c:v>1716.65</c:v>
                </c:pt>
                <c:pt idx="12">
                  <c:v>2093.85</c:v>
                </c:pt>
                <c:pt idx="13">
                  <c:v>2472.0100000000002</c:v>
                </c:pt>
                <c:pt idx="14">
                  <c:v>2851.98</c:v>
                </c:pt>
                <c:pt idx="15">
                  <c:v>3235.85</c:v>
                </c:pt>
                <c:pt idx="16">
                  <c:v>3618.12</c:v>
                </c:pt>
                <c:pt idx="17">
                  <c:v>3747.92</c:v>
                </c:pt>
                <c:pt idx="18">
                  <c:v>3879.7</c:v>
                </c:pt>
                <c:pt idx="19">
                  <c:v>4013.65</c:v>
                </c:pt>
                <c:pt idx="20">
                  <c:v>4152.3599999999997</c:v>
                </c:pt>
                <c:pt idx="21">
                  <c:v>4288.82</c:v>
                </c:pt>
                <c:pt idx="22">
                  <c:v>4256.66</c:v>
                </c:pt>
                <c:pt idx="23">
                  <c:v>4222.55</c:v>
                </c:pt>
                <c:pt idx="24">
                  <c:v>4186.93</c:v>
                </c:pt>
                <c:pt idx="25">
                  <c:v>4151.24</c:v>
                </c:pt>
                <c:pt idx="26">
                  <c:v>4107.09</c:v>
                </c:pt>
                <c:pt idx="27">
                  <c:v>4064.39</c:v>
                </c:pt>
                <c:pt idx="28">
                  <c:v>4020.84</c:v>
                </c:pt>
                <c:pt idx="29">
                  <c:v>3961.68</c:v>
                </c:pt>
                <c:pt idx="30">
                  <c:v>3848.35</c:v>
                </c:pt>
                <c:pt idx="31">
                  <c:v>3771.92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7F-4C81-A585-6BB2BD38D188}"/>
            </c:ext>
          </c:extLst>
        </c:ser>
        <c:ser>
          <c:idx val="5"/>
          <c:order val="4"/>
          <c:tx>
            <c:strRef>
              <c:f>'Emission Reudction Wedges'!$B$25</c:f>
              <c:strCache>
                <c:ptCount val="1"/>
                <c:pt idx="0">
                  <c:v>Heat Pumps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Wedges'!$C$25:$AH$25</c:f>
              <c:numCache>
                <c:formatCode>#,##0</c:formatCode>
                <c:ptCount val="32"/>
                <c:pt idx="0">
                  <c:v>-0.39</c:v>
                </c:pt>
                <c:pt idx="1">
                  <c:v>0.14000000000000001</c:v>
                </c:pt>
                <c:pt idx="2">
                  <c:v>-0.42</c:v>
                </c:pt>
                <c:pt idx="3">
                  <c:v>0.22</c:v>
                </c:pt>
                <c:pt idx="4">
                  <c:v>1.41</c:v>
                </c:pt>
                <c:pt idx="5">
                  <c:v>32.909999999999997</c:v>
                </c:pt>
                <c:pt idx="6">
                  <c:v>85.67</c:v>
                </c:pt>
                <c:pt idx="7">
                  <c:v>154.28</c:v>
                </c:pt>
                <c:pt idx="8">
                  <c:v>236.23</c:v>
                </c:pt>
                <c:pt idx="9">
                  <c:v>333.93</c:v>
                </c:pt>
                <c:pt idx="10">
                  <c:v>491.78</c:v>
                </c:pt>
                <c:pt idx="11">
                  <c:v>655.56</c:v>
                </c:pt>
                <c:pt idx="12">
                  <c:v>826.41</c:v>
                </c:pt>
                <c:pt idx="13">
                  <c:v>977.56</c:v>
                </c:pt>
                <c:pt idx="14">
                  <c:v>1095.76</c:v>
                </c:pt>
                <c:pt idx="15">
                  <c:v>1177.04</c:v>
                </c:pt>
                <c:pt idx="16">
                  <c:v>1245.6199999999999</c:v>
                </c:pt>
                <c:pt idx="17">
                  <c:v>1286.1400000000001</c:v>
                </c:pt>
                <c:pt idx="18">
                  <c:v>1302.43</c:v>
                </c:pt>
                <c:pt idx="19">
                  <c:v>1294.29</c:v>
                </c:pt>
                <c:pt idx="20">
                  <c:v>1268.3399999999999</c:v>
                </c:pt>
                <c:pt idx="21">
                  <c:v>1217.21</c:v>
                </c:pt>
                <c:pt idx="22">
                  <c:v>1222.01</c:v>
                </c:pt>
                <c:pt idx="23">
                  <c:v>1984</c:v>
                </c:pt>
                <c:pt idx="24">
                  <c:v>1975.71</c:v>
                </c:pt>
                <c:pt idx="25">
                  <c:v>1959.89</c:v>
                </c:pt>
                <c:pt idx="26">
                  <c:v>1193.9000000000001</c:v>
                </c:pt>
                <c:pt idx="27">
                  <c:v>1184.67</c:v>
                </c:pt>
                <c:pt idx="28">
                  <c:v>1177.7</c:v>
                </c:pt>
                <c:pt idx="29">
                  <c:v>1172.53</c:v>
                </c:pt>
                <c:pt idx="30">
                  <c:v>1164.75</c:v>
                </c:pt>
                <c:pt idx="31">
                  <c:v>1164.03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7F-4C81-A585-6BB2BD38D188}"/>
            </c:ext>
          </c:extLst>
        </c:ser>
        <c:ser>
          <c:idx val="6"/>
          <c:order val="5"/>
          <c:tx>
            <c:strRef>
              <c:f>'Emission Reudction Wedges'!$B$26</c:f>
              <c:strCache>
                <c:ptCount val="1"/>
                <c:pt idx="0">
                  <c:v>Residential Hydrogen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Wedges'!$C$26:$AH$26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15.49</c:v>
                </c:pt>
                <c:pt idx="5">
                  <c:v>202.34</c:v>
                </c:pt>
                <c:pt idx="6">
                  <c:v>379.15</c:v>
                </c:pt>
                <c:pt idx="7">
                  <c:v>542</c:v>
                </c:pt>
                <c:pt idx="8">
                  <c:v>691.46</c:v>
                </c:pt>
                <c:pt idx="9">
                  <c:v>826.42</c:v>
                </c:pt>
                <c:pt idx="10">
                  <c:v>936.11</c:v>
                </c:pt>
                <c:pt idx="11">
                  <c:v>1033.0999999999999</c:v>
                </c:pt>
                <c:pt idx="12">
                  <c:v>1096.96</c:v>
                </c:pt>
                <c:pt idx="13">
                  <c:v>1141.96</c:v>
                </c:pt>
                <c:pt idx="14">
                  <c:v>1171.03</c:v>
                </c:pt>
                <c:pt idx="15">
                  <c:v>1182.79</c:v>
                </c:pt>
                <c:pt idx="16">
                  <c:v>1200.81</c:v>
                </c:pt>
                <c:pt idx="17">
                  <c:v>1126.1300000000001</c:v>
                </c:pt>
                <c:pt idx="18">
                  <c:v>1058.08</c:v>
                </c:pt>
                <c:pt idx="19">
                  <c:v>995.78</c:v>
                </c:pt>
                <c:pt idx="20">
                  <c:v>935.16</c:v>
                </c:pt>
                <c:pt idx="21">
                  <c:v>886.36</c:v>
                </c:pt>
                <c:pt idx="22">
                  <c:v>856.03</c:v>
                </c:pt>
                <c:pt idx="23">
                  <c:v>828.49</c:v>
                </c:pt>
                <c:pt idx="24">
                  <c:v>802.96</c:v>
                </c:pt>
                <c:pt idx="25">
                  <c:v>777.81</c:v>
                </c:pt>
                <c:pt idx="26">
                  <c:v>761.26</c:v>
                </c:pt>
                <c:pt idx="27">
                  <c:v>742.59</c:v>
                </c:pt>
                <c:pt idx="28">
                  <c:v>724.59</c:v>
                </c:pt>
                <c:pt idx="29">
                  <c:v>707.07</c:v>
                </c:pt>
                <c:pt idx="30">
                  <c:v>686.85</c:v>
                </c:pt>
                <c:pt idx="31">
                  <c:v>673.2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7F-4C81-A585-6BB2BD38D188}"/>
            </c:ext>
          </c:extLst>
        </c:ser>
        <c:ser>
          <c:idx val="7"/>
          <c:order val="6"/>
          <c:tx>
            <c:strRef>
              <c:f>'Emission Reudction Wedges'!$B$27</c:f>
              <c:strCache>
                <c:ptCount val="1"/>
                <c:pt idx="0">
                  <c:v>Green Hydrogen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Wedges'!$C$27:$AH$27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-279.36</c:v>
                </c:pt>
                <c:pt idx="4">
                  <c:v>-479.79</c:v>
                </c:pt>
                <c:pt idx="5">
                  <c:v>-712.71</c:v>
                </c:pt>
                <c:pt idx="6">
                  <c:v>-867.7</c:v>
                </c:pt>
                <c:pt idx="7">
                  <c:v>-947.39</c:v>
                </c:pt>
                <c:pt idx="8">
                  <c:v>-958.48</c:v>
                </c:pt>
                <c:pt idx="9">
                  <c:v>-906.11</c:v>
                </c:pt>
                <c:pt idx="10">
                  <c:v>-792.57</c:v>
                </c:pt>
                <c:pt idx="11">
                  <c:v>-626.03</c:v>
                </c:pt>
                <c:pt idx="12">
                  <c:v>-662.25</c:v>
                </c:pt>
                <c:pt idx="13">
                  <c:v>-683.68</c:v>
                </c:pt>
                <c:pt idx="14">
                  <c:v>-691.58</c:v>
                </c:pt>
                <c:pt idx="15">
                  <c:v>-686.57</c:v>
                </c:pt>
                <c:pt idx="16">
                  <c:v>-671.83</c:v>
                </c:pt>
                <c:pt idx="17">
                  <c:v>-614.61</c:v>
                </c:pt>
                <c:pt idx="18">
                  <c:v>-555.54</c:v>
                </c:pt>
                <c:pt idx="19">
                  <c:v>-494.43</c:v>
                </c:pt>
                <c:pt idx="20">
                  <c:v>-430.9</c:v>
                </c:pt>
                <c:pt idx="21">
                  <c:v>-1092.5899999999999</c:v>
                </c:pt>
                <c:pt idx="22">
                  <c:v>-1031.81</c:v>
                </c:pt>
                <c:pt idx="23">
                  <c:v>-968.68</c:v>
                </c:pt>
                <c:pt idx="24">
                  <c:v>-901.56</c:v>
                </c:pt>
                <c:pt idx="25">
                  <c:v>-830.58</c:v>
                </c:pt>
                <c:pt idx="26">
                  <c:v>-754.75</c:v>
                </c:pt>
                <c:pt idx="27">
                  <c:v>-754.75</c:v>
                </c:pt>
                <c:pt idx="28">
                  <c:v>-754.75</c:v>
                </c:pt>
                <c:pt idx="29">
                  <c:v>-754.75</c:v>
                </c:pt>
                <c:pt idx="30">
                  <c:v>-754.75</c:v>
                </c:pt>
                <c:pt idx="31">
                  <c:v>-754.75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7F-4C81-A585-6BB2BD38D188}"/>
            </c:ext>
          </c:extLst>
        </c:ser>
        <c:ser>
          <c:idx val="8"/>
          <c:order val="7"/>
          <c:tx>
            <c:strRef>
              <c:f>'Emission Reudction Wedges'!$B$28</c:f>
              <c:strCache>
                <c:ptCount val="1"/>
                <c:pt idx="0">
                  <c:v>Industrial Efficiency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Wedges'!$C$28:$AH$28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259</c:v>
                </c:pt>
                <c:pt idx="7">
                  <c:v>506</c:v>
                </c:pt>
                <c:pt idx="8">
                  <c:v>742</c:v>
                </c:pt>
                <c:pt idx="9">
                  <c:v>966</c:v>
                </c:pt>
                <c:pt idx="10">
                  <c:v>1179</c:v>
                </c:pt>
                <c:pt idx="11">
                  <c:v>1382</c:v>
                </c:pt>
                <c:pt idx="12">
                  <c:v>1590</c:v>
                </c:pt>
                <c:pt idx="13">
                  <c:v>1791</c:v>
                </c:pt>
                <c:pt idx="14">
                  <c:v>1986</c:v>
                </c:pt>
                <c:pt idx="15">
                  <c:v>2177</c:v>
                </c:pt>
                <c:pt idx="16">
                  <c:v>2361</c:v>
                </c:pt>
                <c:pt idx="17">
                  <c:v>2542</c:v>
                </c:pt>
                <c:pt idx="18">
                  <c:v>2718</c:v>
                </c:pt>
                <c:pt idx="19">
                  <c:v>2889</c:v>
                </c:pt>
                <c:pt idx="20">
                  <c:v>3058</c:v>
                </c:pt>
                <c:pt idx="21">
                  <c:v>3973</c:v>
                </c:pt>
                <c:pt idx="22">
                  <c:v>4134</c:v>
                </c:pt>
                <c:pt idx="23">
                  <c:v>3531</c:v>
                </c:pt>
                <c:pt idx="24">
                  <c:v>3679</c:v>
                </c:pt>
                <c:pt idx="25">
                  <c:v>3824</c:v>
                </c:pt>
                <c:pt idx="26">
                  <c:v>3965</c:v>
                </c:pt>
                <c:pt idx="27">
                  <c:v>4108</c:v>
                </c:pt>
                <c:pt idx="28">
                  <c:v>4247</c:v>
                </c:pt>
                <c:pt idx="29">
                  <c:v>4383</c:v>
                </c:pt>
                <c:pt idx="30">
                  <c:v>4516</c:v>
                </c:pt>
                <c:pt idx="31">
                  <c:v>4647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7F-4C81-A585-6BB2BD38D188}"/>
            </c:ext>
          </c:extLst>
        </c:ser>
        <c:ser>
          <c:idx val="9"/>
          <c:order val="8"/>
          <c:tx>
            <c:strRef>
              <c:f>'Emission Reudction Wedges'!$B$29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Wedges'!$C$29:$AH$29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20.92</c:v>
                </c:pt>
                <c:pt idx="5">
                  <c:v>145.43</c:v>
                </c:pt>
                <c:pt idx="6">
                  <c:v>274.47000000000003</c:v>
                </c:pt>
                <c:pt idx="7">
                  <c:v>408.04</c:v>
                </c:pt>
                <c:pt idx="8">
                  <c:v>546.14</c:v>
                </c:pt>
                <c:pt idx="9">
                  <c:v>688.77</c:v>
                </c:pt>
                <c:pt idx="10">
                  <c:v>835.93</c:v>
                </c:pt>
                <c:pt idx="11">
                  <c:v>987.62</c:v>
                </c:pt>
                <c:pt idx="12">
                  <c:v>1115.82</c:v>
                </c:pt>
                <c:pt idx="13">
                  <c:v>1241.69</c:v>
                </c:pt>
                <c:pt idx="14">
                  <c:v>1365.23</c:v>
                </c:pt>
                <c:pt idx="15">
                  <c:v>1486.44</c:v>
                </c:pt>
                <c:pt idx="16">
                  <c:v>1605.33</c:v>
                </c:pt>
                <c:pt idx="17">
                  <c:v>1721.89</c:v>
                </c:pt>
                <c:pt idx="18">
                  <c:v>1836.11</c:v>
                </c:pt>
                <c:pt idx="19">
                  <c:v>1948.02</c:v>
                </c:pt>
                <c:pt idx="20">
                  <c:v>2087.5100000000002</c:v>
                </c:pt>
                <c:pt idx="21">
                  <c:v>2228.37</c:v>
                </c:pt>
                <c:pt idx="22">
                  <c:v>2240.15</c:v>
                </c:pt>
                <c:pt idx="23">
                  <c:v>2251.92</c:v>
                </c:pt>
                <c:pt idx="24">
                  <c:v>2263.6999999999998</c:v>
                </c:pt>
                <c:pt idx="25">
                  <c:v>2275.48</c:v>
                </c:pt>
                <c:pt idx="26">
                  <c:v>2287.2600000000002</c:v>
                </c:pt>
                <c:pt idx="27">
                  <c:v>2287.2600000000002</c:v>
                </c:pt>
                <c:pt idx="28">
                  <c:v>2287.2600000000002</c:v>
                </c:pt>
                <c:pt idx="29">
                  <c:v>2287.2600000000002</c:v>
                </c:pt>
                <c:pt idx="30">
                  <c:v>2287.2600000000002</c:v>
                </c:pt>
                <c:pt idx="31">
                  <c:v>2287.2600000000002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7F-4C81-A585-6BB2BD38D188}"/>
            </c:ext>
          </c:extLst>
        </c:ser>
        <c:ser>
          <c:idx val="10"/>
          <c:order val="9"/>
          <c:tx>
            <c:strRef>
              <c:f>'Emission Reudction Wedges'!$B$30</c:f>
              <c:strCache>
                <c:ptCount val="1"/>
                <c:pt idx="0">
                  <c:v>Building Retrofits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Wedges'!$C$30:$AH$30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44</c:v>
                </c:pt>
                <c:pt idx="4">
                  <c:v>144</c:v>
                </c:pt>
                <c:pt idx="5">
                  <c:v>290</c:v>
                </c:pt>
                <c:pt idx="6">
                  <c:v>432</c:v>
                </c:pt>
                <c:pt idx="7">
                  <c:v>567</c:v>
                </c:pt>
                <c:pt idx="8">
                  <c:v>693</c:v>
                </c:pt>
                <c:pt idx="9">
                  <c:v>800</c:v>
                </c:pt>
                <c:pt idx="11">
                  <c:v>942</c:v>
                </c:pt>
                <c:pt idx="12">
                  <c:v>1059</c:v>
                </c:pt>
                <c:pt idx="13">
                  <c:v>1168</c:v>
                </c:pt>
                <c:pt idx="14">
                  <c:v>1269</c:v>
                </c:pt>
                <c:pt idx="15">
                  <c:v>1356</c:v>
                </c:pt>
                <c:pt idx="16">
                  <c:v>1468</c:v>
                </c:pt>
                <c:pt idx="17">
                  <c:v>1574</c:v>
                </c:pt>
                <c:pt idx="18">
                  <c:v>1683</c:v>
                </c:pt>
                <c:pt idx="19">
                  <c:v>1794</c:v>
                </c:pt>
                <c:pt idx="20">
                  <c:v>1882</c:v>
                </c:pt>
                <c:pt idx="21">
                  <c:v>1999</c:v>
                </c:pt>
                <c:pt idx="22">
                  <c:v>1885</c:v>
                </c:pt>
                <c:pt idx="23">
                  <c:v>1766</c:v>
                </c:pt>
                <c:pt idx="24">
                  <c:v>1661</c:v>
                </c:pt>
                <c:pt idx="25">
                  <c:v>1530</c:v>
                </c:pt>
                <c:pt idx="26">
                  <c:v>1443</c:v>
                </c:pt>
                <c:pt idx="27">
                  <c:v>1399</c:v>
                </c:pt>
                <c:pt idx="28">
                  <c:v>1359</c:v>
                </c:pt>
                <c:pt idx="29">
                  <c:v>1321</c:v>
                </c:pt>
                <c:pt idx="30">
                  <c:v>1263</c:v>
                </c:pt>
                <c:pt idx="31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7F-4C81-A585-6BB2BD38D188}"/>
            </c:ext>
          </c:extLst>
        </c:ser>
        <c:ser>
          <c:idx val="11"/>
          <c:order val="10"/>
          <c:tx>
            <c:strRef>
              <c:f>'Emission Reudction Wedges'!$B$31</c:f>
              <c:strCache>
                <c:ptCount val="1"/>
                <c:pt idx="0">
                  <c:v>Decrease VMT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Wedges'!$C$31:$AH$31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290</c:v>
                </c:pt>
                <c:pt idx="4">
                  <c:v>420</c:v>
                </c:pt>
                <c:pt idx="5">
                  <c:v>536</c:v>
                </c:pt>
                <c:pt idx="6">
                  <c:v>627</c:v>
                </c:pt>
                <c:pt idx="7">
                  <c:v>712</c:v>
                </c:pt>
                <c:pt idx="8">
                  <c:v>777</c:v>
                </c:pt>
                <c:pt idx="9">
                  <c:v>828</c:v>
                </c:pt>
                <c:pt idx="10">
                  <c:v>864</c:v>
                </c:pt>
                <c:pt idx="11">
                  <c:v>892</c:v>
                </c:pt>
                <c:pt idx="12">
                  <c:v>920</c:v>
                </c:pt>
                <c:pt idx="13">
                  <c:v>945</c:v>
                </c:pt>
                <c:pt idx="14">
                  <c:v>966</c:v>
                </c:pt>
                <c:pt idx="15">
                  <c:v>971</c:v>
                </c:pt>
                <c:pt idx="16">
                  <c:v>977</c:v>
                </c:pt>
                <c:pt idx="17">
                  <c:v>956</c:v>
                </c:pt>
                <c:pt idx="18">
                  <c:v>932</c:v>
                </c:pt>
                <c:pt idx="19">
                  <c:v>908</c:v>
                </c:pt>
                <c:pt idx="20">
                  <c:v>896</c:v>
                </c:pt>
                <c:pt idx="21">
                  <c:v>887</c:v>
                </c:pt>
                <c:pt idx="22">
                  <c:v>879</c:v>
                </c:pt>
                <c:pt idx="23">
                  <c:v>871</c:v>
                </c:pt>
                <c:pt idx="24">
                  <c:v>864</c:v>
                </c:pt>
                <c:pt idx="25">
                  <c:v>858</c:v>
                </c:pt>
                <c:pt idx="26">
                  <c:v>852</c:v>
                </c:pt>
                <c:pt idx="27">
                  <c:v>851</c:v>
                </c:pt>
                <c:pt idx="28">
                  <c:v>852</c:v>
                </c:pt>
                <c:pt idx="29">
                  <c:v>853</c:v>
                </c:pt>
                <c:pt idx="30">
                  <c:v>854</c:v>
                </c:pt>
                <c:pt idx="31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07F-4C81-A585-6BB2BD38D188}"/>
            </c:ext>
          </c:extLst>
        </c:ser>
        <c:ser>
          <c:idx val="12"/>
          <c:order val="11"/>
          <c:tx>
            <c:strRef>
              <c:f>'Emission Reudction Wedges'!$B$32</c:f>
              <c:strCache>
                <c:ptCount val="1"/>
                <c:pt idx="0">
                  <c:v>Urban Planning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Wedges'!$C$32:$AH$32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157</c:v>
                </c:pt>
                <c:pt idx="3">
                  <c:v>311</c:v>
                </c:pt>
                <c:pt idx="4">
                  <c:v>463</c:v>
                </c:pt>
                <c:pt idx="5">
                  <c:v>599</c:v>
                </c:pt>
                <c:pt idx="6">
                  <c:v>686</c:v>
                </c:pt>
                <c:pt idx="7">
                  <c:v>777</c:v>
                </c:pt>
                <c:pt idx="8">
                  <c:v>841</c:v>
                </c:pt>
                <c:pt idx="9">
                  <c:v>878</c:v>
                </c:pt>
                <c:pt idx="10">
                  <c:v>890</c:v>
                </c:pt>
                <c:pt idx="11">
                  <c:v>888</c:v>
                </c:pt>
                <c:pt idx="12">
                  <c:v>893</c:v>
                </c:pt>
                <c:pt idx="13">
                  <c:v>899</c:v>
                </c:pt>
                <c:pt idx="14">
                  <c:v>897</c:v>
                </c:pt>
                <c:pt idx="15">
                  <c:v>863</c:v>
                </c:pt>
                <c:pt idx="16">
                  <c:v>839</c:v>
                </c:pt>
                <c:pt idx="17">
                  <c:v>792</c:v>
                </c:pt>
                <c:pt idx="18">
                  <c:v>729</c:v>
                </c:pt>
                <c:pt idx="19">
                  <c:v>655</c:v>
                </c:pt>
                <c:pt idx="20">
                  <c:v>583</c:v>
                </c:pt>
                <c:pt idx="21">
                  <c:v>509</c:v>
                </c:pt>
                <c:pt idx="22">
                  <c:v>409</c:v>
                </c:pt>
                <c:pt idx="23">
                  <c:v>318</c:v>
                </c:pt>
                <c:pt idx="24">
                  <c:v>238</c:v>
                </c:pt>
                <c:pt idx="25">
                  <c:v>170</c:v>
                </c:pt>
                <c:pt idx="26">
                  <c:v>114</c:v>
                </c:pt>
                <c:pt idx="27">
                  <c:v>81</c:v>
                </c:pt>
                <c:pt idx="28">
                  <c:v>58</c:v>
                </c:pt>
                <c:pt idx="29">
                  <c:v>44</c:v>
                </c:pt>
                <c:pt idx="30">
                  <c:v>35</c:v>
                </c:pt>
                <c:pt idx="3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7F-4C81-A585-6BB2BD38D188}"/>
            </c:ext>
          </c:extLst>
        </c:ser>
        <c:ser>
          <c:idx val="13"/>
          <c:order val="12"/>
          <c:tx>
            <c:strRef>
              <c:f>'Emission Reudction Wedges'!$B$33</c:f>
              <c:strCache>
                <c:ptCount val="1"/>
                <c:pt idx="0">
                  <c:v>Transit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Wedges'!$C$33:$AH$33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121</c:v>
                </c:pt>
                <c:pt idx="3">
                  <c:v>233</c:v>
                </c:pt>
                <c:pt idx="4">
                  <c:v>341</c:v>
                </c:pt>
                <c:pt idx="5">
                  <c:v>435</c:v>
                </c:pt>
                <c:pt idx="6">
                  <c:v>491</c:v>
                </c:pt>
                <c:pt idx="7">
                  <c:v>549</c:v>
                </c:pt>
                <c:pt idx="8">
                  <c:v>587</c:v>
                </c:pt>
                <c:pt idx="9">
                  <c:v>603</c:v>
                </c:pt>
                <c:pt idx="10">
                  <c:v>602</c:v>
                </c:pt>
                <c:pt idx="11">
                  <c:v>595</c:v>
                </c:pt>
                <c:pt idx="12">
                  <c:v>591</c:v>
                </c:pt>
                <c:pt idx="13">
                  <c:v>585</c:v>
                </c:pt>
                <c:pt idx="14">
                  <c:v>576</c:v>
                </c:pt>
                <c:pt idx="15">
                  <c:v>545</c:v>
                </c:pt>
                <c:pt idx="16">
                  <c:v>522</c:v>
                </c:pt>
                <c:pt idx="17">
                  <c:v>483</c:v>
                </c:pt>
                <c:pt idx="18">
                  <c:v>435</c:v>
                </c:pt>
                <c:pt idx="19">
                  <c:v>383</c:v>
                </c:pt>
                <c:pt idx="20">
                  <c:v>333</c:v>
                </c:pt>
                <c:pt idx="21">
                  <c:v>284</c:v>
                </c:pt>
                <c:pt idx="22">
                  <c:v>227</c:v>
                </c:pt>
                <c:pt idx="23">
                  <c:v>175</c:v>
                </c:pt>
                <c:pt idx="24">
                  <c:v>129</c:v>
                </c:pt>
                <c:pt idx="25">
                  <c:v>89</c:v>
                </c:pt>
                <c:pt idx="26">
                  <c:v>56</c:v>
                </c:pt>
                <c:pt idx="27">
                  <c:v>36</c:v>
                </c:pt>
                <c:pt idx="28">
                  <c:v>21</c:v>
                </c:pt>
                <c:pt idx="29">
                  <c:v>11</c:v>
                </c:pt>
                <c:pt idx="30">
                  <c:v>5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07F-4C81-A585-6BB2BD38D188}"/>
            </c:ext>
          </c:extLst>
        </c:ser>
        <c:ser>
          <c:idx val="14"/>
          <c:order val="13"/>
          <c:tx>
            <c:strRef>
              <c:f>'Emission Reudction Wedges'!$B$34</c:f>
              <c:strCache>
                <c:ptCount val="1"/>
                <c:pt idx="0">
                  <c:v>CETA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Wedges'!$C$34:$AH$34</c:f>
              <c:numCache>
                <c:formatCode>#,##0</c:formatCode>
                <c:ptCount val="32"/>
                <c:pt idx="0">
                  <c:v>0</c:v>
                </c:pt>
                <c:pt idx="1">
                  <c:v>100.3</c:v>
                </c:pt>
                <c:pt idx="2">
                  <c:v>139.69999999999999</c:v>
                </c:pt>
                <c:pt idx="3">
                  <c:v>202.7</c:v>
                </c:pt>
                <c:pt idx="4">
                  <c:v>290</c:v>
                </c:pt>
                <c:pt idx="5">
                  <c:v>401.7</c:v>
                </c:pt>
                <c:pt idx="6">
                  <c:v>15843.47</c:v>
                </c:pt>
                <c:pt idx="7">
                  <c:v>16148.51</c:v>
                </c:pt>
                <c:pt idx="8">
                  <c:v>16466.25</c:v>
                </c:pt>
                <c:pt idx="9">
                  <c:v>16794.95</c:v>
                </c:pt>
                <c:pt idx="10">
                  <c:v>17133.900000000001</c:v>
                </c:pt>
                <c:pt idx="11">
                  <c:v>22228</c:v>
                </c:pt>
                <c:pt idx="12">
                  <c:v>22325.31</c:v>
                </c:pt>
                <c:pt idx="13">
                  <c:v>22423.439999999999</c:v>
                </c:pt>
                <c:pt idx="14">
                  <c:v>22526.23</c:v>
                </c:pt>
                <c:pt idx="15">
                  <c:v>22630.47</c:v>
                </c:pt>
                <c:pt idx="16">
                  <c:v>22737.55</c:v>
                </c:pt>
                <c:pt idx="17">
                  <c:v>22837.24</c:v>
                </c:pt>
                <c:pt idx="18">
                  <c:v>22938.04</c:v>
                </c:pt>
                <c:pt idx="19">
                  <c:v>23040.22</c:v>
                </c:pt>
                <c:pt idx="20">
                  <c:v>23143.919999999998</c:v>
                </c:pt>
                <c:pt idx="21">
                  <c:v>23248.85</c:v>
                </c:pt>
                <c:pt idx="22">
                  <c:v>23356.42</c:v>
                </c:pt>
                <c:pt idx="23">
                  <c:v>23464.98</c:v>
                </c:pt>
                <c:pt idx="24">
                  <c:v>23574.68</c:v>
                </c:pt>
                <c:pt idx="25">
                  <c:v>23685.63</c:v>
                </c:pt>
                <c:pt idx="26">
                  <c:v>25001.93</c:v>
                </c:pt>
                <c:pt idx="27">
                  <c:v>25048.23</c:v>
                </c:pt>
                <c:pt idx="28">
                  <c:v>25094.95</c:v>
                </c:pt>
                <c:pt idx="29">
                  <c:v>25141.87</c:v>
                </c:pt>
                <c:pt idx="30">
                  <c:v>25189.07</c:v>
                </c:pt>
                <c:pt idx="31">
                  <c:v>25236.3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07F-4C81-A585-6BB2BD38D188}"/>
            </c:ext>
          </c:extLst>
        </c:ser>
        <c:ser>
          <c:idx val="15"/>
          <c:order val="14"/>
          <c:tx>
            <c:strRef>
              <c:f>'Emission Reudction Wedges'!$B$35</c:f>
              <c:strCache>
                <c:ptCount val="1"/>
                <c:pt idx="0">
                  <c:v>BAP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Wedges'!$C$20:$AH$20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Wedges'!$C$35:$AH$35</c:f>
              <c:numCache>
                <c:formatCode>#,##0</c:formatCode>
                <c:ptCount val="32"/>
                <c:pt idx="0">
                  <c:v>0</c:v>
                </c:pt>
                <c:pt idx="1">
                  <c:v>211.5</c:v>
                </c:pt>
                <c:pt idx="2">
                  <c:v>1087</c:v>
                </c:pt>
                <c:pt idx="3">
                  <c:v>1983.6</c:v>
                </c:pt>
                <c:pt idx="4">
                  <c:v>2902.4</c:v>
                </c:pt>
                <c:pt idx="5">
                  <c:v>4128.1000000000004</c:v>
                </c:pt>
                <c:pt idx="6">
                  <c:v>5210.5</c:v>
                </c:pt>
                <c:pt idx="7">
                  <c:v>6368.02</c:v>
                </c:pt>
                <c:pt idx="8">
                  <c:v>7604.2</c:v>
                </c:pt>
                <c:pt idx="9">
                  <c:v>8949.33</c:v>
                </c:pt>
                <c:pt idx="10">
                  <c:v>10477.59</c:v>
                </c:pt>
                <c:pt idx="11">
                  <c:v>12014.57</c:v>
                </c:pt>
                <c:pt idx="12">
                  <c:v>13599.01</c:v>
                </c:pt>
                <c:pt idx="13">
                  <c:v>15189.25</c:v>
                </c:pt>
                <c:pt idx="14">
                  <c:v>16772.89</c:v>
                </c:pt>
                <c:pt idx="15">
                  <c:v>18434</c:v>
                </c:pt>
                <c:pt idx="16">
                  <c:v>19863.68</c:v>
                </c:pt>
                <c:pt idx="17">
                  <c:v>21312.18</c:v>
                </c:pt>
                <c:pt idx="18">
                  <c:v>22741.98</c:v>
                </c:pt>
                <c:pt idx="19">
                  <c:v>24126.81</c:v>
                </c:pt>
                <c:pt idx="20">
                  <c:v>25196.41</c:v>
                </c:pt>
                <c:pt idx="21">
                  <c:v>26121.02</c:v>
                </c:pt>
                <c:pt idx="22">
                  <c:v>27036.34</c:v>
                </c:pt>
                <c:pt idx="23">
                  <c:v>27876.95</c:v>
                </c:pt>
                <c:pt idx="24">
                  <c:v>28630.68</c:v>
                </c:pt>
                <c:pt idx="25">
                  <c:v>29348.33</c:v>
                </c:pt>
                <c:pt idx="26">
                  <c:v>29903.32</c:v>
                </c:pt>
                <c:pt idx="27">
                  <c:v>30417.82</c:v>
                </c:pt>
                <c:pt idx="28">
                  <c:v>30890.07</c:v>
                </c:pt>
                <c:pt idx="29">
                  <c:v>31333.17</c:v>
                </c:pt>
                <c:pt idx="30">
                  <c:v>31803.93</c:v>
                </c:pt>
                <c:pt idx="31">
                  <c:v>32165.23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7F-4C81-A585-6BB2BD38D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194367"/>
        <c:axId val="1630210175"/>
      </c:areaChart>
      <c:lineChart>
        <c:grouping val="standard"/>
        <c:varyColors val="0"/>
        <c:ser>
          <c:idx val="16"/>
          <c:order val="15"/>
          <c:tx>
            <c:strRef>
              <c:f>'Emission Reudction Wedges'!$B$36</c:f>
              <c:strCache>
                <c:ptCount val="1"/>
                <c:pt idx="0">
                  <c:v>2030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'Emission Reudction Wedges'!$C$36:$AH$36</c:f>
              <c:numCache>
                <c:formatCode>#,##0</c:formatCode>
                <c:ptCount val="32"/>
                <c:pt idx="0">
                  <c:v>49770</c:v>
                </c:pt>
                <c:pt idx="1">
                  <c:v>49770</c:v>
                </c:pt>
                <c:pt idx="2">
                  <c:v>49770</c:v>
                </c:pt>
                <c:pt idx="3">
                  <c:v>49770</c:v>
                </c:pt>
                <c:pt idx="4">
                  <c:v>49770</c:v>
                </c:pt>
                <c:pt idx="5">
                  <c:v>49770</c:v>
                </c:pt>
                <c:pt idx="6">
                  <c:v>49770</c:v>
                </c:pt>
                <c:pt idx="7">
                  <c:v>49770</c:v>
                </c:pt>
                <c:pt idx="8">
                  <c:v>49770</c:v>
                </c:pt>
                <c:pt idx="9">
                  <c:v>49770</c:v>
                </c:pt>
                <c:pt idx="10">
                  <c:v>49770</c:v>
                </c:pt>
                <c:pt idx="11">
                  <c:v>49770</c:v>
                </c:pt>
                <c:pt idx="12">
                  <c:v>49770</c:v>
                </c:pt>
                <c:pt idx="13">
                  <c:v>49770</c:v>
                </c:pt>
                <c:pt idx="14">
                  <c:v>49770</c:v>
                </c:pt>
                <c:pt idx="15">
                  <c:v>49770</c:v>
                </c:pt>
                <c:pt idx="16">
                  <c:v>49770</c:v>
                </c:pt>
                <c:pt idx="17">
                  <c:v>49770</c:v>
                </c:pt>
                <c:pt idx="18">
                  <c:v>49770</c:v>
                </c:pt>
                <c:pt idx="19">
                  <c:v>49770</c:v>
                </c:pt>
                <c:pt idx="20">
                  <c:v>49770</c:v>
                </c:pt>
                <c:pt idx="21">
                  <c:v>49770</c:v>
                </c:pt>
                <c:pt idx="22">
                  <c:v>49770</c:v>
                </c:pt>
                <c:pt idx="23">
                  <c:v>49770</c:v>
                </c:pt>
                <c:pt idx="24">
                  <c:v>49770</c:v>
                </c:pt>
                <c:pt idx="25">
                  <c:v>49770</c:v>
                </c:pt>
                <c:pt idx="26">
                  <c:v>49770</c:v>
                </c:pt>
                <c:pt idx="27">
                  <c:v>49770</c:v>
                </c:pt>
                <c:pt idx="28">
                  <c:v>49770</c:v>
                </c:pt>
                <c:pt idx="29">
                  <c:v>49770</c:v>
                </c:pt>
                <c:pt idx="30">
                  <c:v>49770</c:v>
                </c:pt>
                <c:pt idx="31">
                  <c:v>49770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07F-4C81-A585-6BB2BD38D188}"/>
            </c:ext>
          </c:extLst>
        </c:ser>
        <c:ser>
          <c:idx val="17"/>
          <c:order val="16"/>
          <c:tx>
            <c:strRef>
              <c:f>'Emission Reudction Wedges'!$B$37</c:f>
              <c:strCache>
                <c:ptCount val="1"/>
                <c:pt idx="0">
                  <c:v>2040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'Emission Reudction Wedges'!$C$37:$AH$37</c:f>
              <c:numCache>
                <c:formatCode>#,##0</c:formatCode>
                <c:ptCount val="32"/>
                <c:pt idx="0">
                  <c:v>27147</c:v>
                </c:pt>
                <c:pt idx="1">
                  <c:v>27147</c:v>
                </c:pt>
                <c:pt idx="2">
                  <c:v>27147</c:v>
                </c:pt>
                <c:pt idx="3">
                  <c:v>27147</c:v>
                </c:pt>
                <c:pt idx="4">
                  <c:v>27147</c:v>
                </c:pt>
                <c:pt idx="5">
                  <c:v>27147</c:v>
                </c:pt>
                <c:pt idx="6">
                  <c:v>27147</c:v>
                </c:pt>
                <c:pt idx="7">
                  <c:v>27147</c:v>
                </c:pt>
                <c:pt idx="8">
                  <c:v>27147</c:v>
                </c:pt>
                <c:pt idx="9">
                  <c:v>27147</c:v>
                </c:pt>
                <c:pt idx="10">
                  <c:v>27147</c:v>
                </c:pt>
                <c:pt idx="11">
                  <c:v>27147</c:v>
                </c:pt>
                <c:pt idx="12">
                  <c:v>27147</c:v>
                </c:pt>
                <c:pt idx="13">
                  <c:v>27147</c:v>
                </c:pt>
                <c:pt idx="14">
                  <c:v>27147</c:v>
                </c:pt>
                <c:pt idx="15">
                  <c:v>27147</c:v>
                </c:pt>
                <c:pt idx="16">
                  <c:v>27147</c:v>
                </c:pt>
                <c:pt idx="17">
                  <c:v>27147</c:v>
                </c:pt>
                <c:pt idx="18">
                  <c:v>27147</c:v>
                </c:pt>
                <c:pt idx="19">
                  <c:v>27147</c:v>
                </c:pt>
                <c:pt idx="20">
                  <c:v>27147</c:v>
                </c:pt>
                <c:pt idx="21">
                  <c:v>27147</c:v>
                </c:pt>
                <c:pt idx="22">
                  <c:v>27147</c:v>
                </c:pt>
                <c:pt idx="23">
                  <c:v>27147</c:v>
                </c:pt>
                <c:pt idx="24">
                  <c:v>27147</c:v>
                </c:pt>
                <c:pt idx="25">
                  <c:v>27147</c:v>
                </c:pt>
                <c:pt idx="26">
                  <c:v>27147</c:v>
                </c:pt>
                <c:pt idx="27">
                  <c:v>27147</c:v>
                </c:pt>
                <c:pt idx="28">
                  <c:v>27147</c:v>
                </c:pt>
                <c:pt idx="29">
                  <c:v>27147</c:v>
                </c:pt>
                <c:pt idx="30">
                  <c:v>27147</c:v>
                </c:pt>
                <c:pt idx="31">
                  <c:v>27147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07F-4C81-A585-6BB2BD38D188}"/>
            </c:ext>
          </c:extLst>
        </c:ser>
        <c:ser>
          <c:idx val="18"/>
          <c:order val="17"/>
          <c:tx>
            <c:strRef>
              <c:f>'Emission Reudction Wedges'!$B$38</c:f>
              <c:strCache>
                <c:ptCount val="1"/>
                <c:pt idx="0">
                  <c:v>2050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'Emission Reudction Wedges'!$C$38:$AH$38</c:f>
              <c:numCache>
                <c:formatCode>#,##0</c:formatCode>
                <c:ptCount val="32"/>
                <c:pt idx="0">
                  <c:v>9049</c:v>
                </c:pt>
                <c:pt idx="1">
                  <c:v>9049</c:v>
                </c:pt>
                <c:pt idx="2">
                  <c:v>9049</c:v>
                </c:pt>
                <c:pt idx="3">
                  <c:v>9049</c:v>
                </c:pt>
                <c:pt idx="4">
                  <c:v>9049</c:v>
                </c:pt>
                <c:pt idx="5">
                  <c:v>9049</c:v>
                </c:pt>
                <c:pt idx="6">
                  <c:v>9049</c:v>
                </c:pt>
                <c:pt idx="7">
                  <c:v>9049</c:v>
                </c:pt>
                <c:pt idx="8">
                  <c:v>9049</c:v>
                </c:pt>
                <c:pt idx="9">
                  <c:v>9049</c:v>
                </c:pt>
                <c:pt idx="10">
                  <c:v>9049</c:v>
                </c:pt>
                <c:pt idx="11">
                  <c:v>9049</c:v>
                </c:pt>
                <c:pt idx="12">
                  <c:v>9049</c:v>
                </c:pt>
                <c:pt idx="13">
                  <c:v>9049</c:v>
                </c:pt>
                <c:pt idx="14">
                  <c:v>9049</c:v>
                </c:pt>
                <c:pt idx="15">
                  <c:v>9049</c:v>
                </c:pt>
                <c:pt idx="16">
                  <c:v>9049</c:v>
                </c:pt>
                <c:pt idx="17">
                  <c:v>9049</c:v>
                </c:pt>
                <c:pt idx="18">
                  <c:v>9049</c:v>
                </c:pt>
                <c:pt idx="19">
                  <c:v>9049</c:v>
                </c:pt>
                <c:pt idx="20">
                  <c:v>9049</c:v>
                </c:pt>
                <c:pt idx="21">
                  <c:v>9049</c:v>
                </c:pt>
                <c:pt idx="22">
                  <c:v>9049</c:v>
                </c:pt>
                <c:pt idx="23">
                  <c:v>9049</c:v>
                </c:pt>
                <c:pt idx="24">
                  <c:v>9049</c:v>
                </c:pt>
                <c:pt idx="25">
                  <c:v>9049</c:v>
                </c:pt>
                <c:pt idx="26">
                  <c:v>9049</c:v>
                </c:pt>
                <c:pt idx="27">
                  <c:v>9049</c:v>
                </c:pt>
                <c:pt idx="28">
                  <c:v>9049</c:v>
                </c:pt>
                <c:pt idx="29">
                  <c:v>9049</c:v>
                </c:pt>
                <c:pt idx="30">
                  <c:v>9049</c:v>
                </c:pt>
                <c:pt idx="31">
                  <c:v>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07F-4C81-A585-6BB2BD38D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194367"/>
        <c:axId val="1630210175"/>
      </c:lineChart>
      <c:catAx>
        <c:axId val="163019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210175"/>
        <c:crosses val="autoZero"/>
        <c:auto val="1"/>
        <c:lblAlgn val="ctr"/>
        <c:lblOffset val="100"/>
        <c:noMultiLvlLbl val="0"/>
      </c:catAx>
      <c:valAx>
        <c:axId val="163021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MTCO2e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194367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'Emission Reudction Wedges'!$B$41</c:f>
              <c:strCache>
                <c:ptCount val="1"/>
                <c:pt idx="0">
                  <c:v>Carbon liability</c:v>
                </c:pt>
              </c:strCache>
            </c:strRef>
          </c:tx>
          <c:spPr>
            <a:solidFill>
              <a:schemeClr val="bg1">
                <a:lumMod val="75000"/>
                <a:alpha val="50000"/>
              </a:schemeClr>
            </a:solidFill>
            <a:ln>
              <a:solidFill>
                <a:schemeClr val="tx1">
                  <a:alpha val="50000"/>
                </a:schemeClr>
              </a:solidFill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Wedges'!$C$41:$AH$41</c:f>
              <c:numCache>
                <c:formatCode>#,##0</c:formatCode>
                <c:ptCount val="32"/>
                <c:pt idx="0">
                  <c:v>106119</c:v>
                </c:pt>
                <c:pt idx="1">
                  <c:v>105312</c:v>
                </c:pt>
                <c:pt idx="2">
                  <c:v>103586</c:v>
                </c:pt>
                <c:pt idx="3">
                  <c:v>101944</c:v>
                </c:pt>
                <c:pt idx="4">
                  <c:v>99591</c:v>
                </c:pt>
                <c:pt idx="5">
                  <c:v>96441</c:v>
                </c:pt>
                <c:pt idx="6">
                  <c:v>77152</c:v>
                </c:pt>
                <c:pt idx="7">
                  <c:v>73211</c:v>
                </c:pt>
                <c:pt idx="8">
                  <c:v>69219</c:v>
                </c:pt>
                <c:pt idx="9">
                  <c:v>65218</c:v>
                </c:pt>
                <c:pt idx="10">
                  <c:v>61120</c:v>
                </c:pt>
                <c:pt idx="11">
                  <c:v>52587</c:v>
                </c:pt>
                <c:pt idx="12">
                  <c:v>48869</c:v>
                </c:pt>
                <c:pt idx="13">
                  <c:v>45369</c:v>
                </c:pt>
                <c:pt idx="14">
                  <c:v>42035</c:v>
                </c:pt>
                <c:pt idx="15">
                  <c:v>38664</c:v>
                </c:pt>
                <c:pt idx="16">
                  <c:v>35676</c:v>
                </c:pt>
                <c:pt idx="17">
                  <c:v>33711</c:v>
                </c:pt>
                <c:pt idx="18">
                  <c:v>31814</c:v>
                </c:pt>
                <c:pt idx="19">
                  <c:v>30016</c:v>
                </c:pt>
                <c:pt idx="20">
                  <c:v>28491</c:v>
                </c:pt>
                <c:pt idx="21">
                  <c:v>27107</c:v>
                </c:pt>
                <c:pt idx="22">
                  <c:v>26343</c:v>
                </c:pt>
                <c:pt idx="23">
                  <c:v>25648</c:v>
                </c:pt>
                <c:pt idx="24">
                  <c:v>25004</c:v>
                </c:pt>
                <c:pt idx="25">
                  <c:v>24413</c:v>
                </c:pt>
                <c:pt idx="26">
                  <c:v>22667</c:v>
                </c:pt>
                <c:pt idx="27">
                  <c:v>22202</c:v>
                </c:pt>
                <c:pt idx="28">
                  <c:v>21780</c:v>
                </c:pt>
                <c:pt idx="29">
                  <c:v>21394</c:v>
                </c:pt>
                <c:pt idx="30">
                  <c:v>21036</c:v>
                </c:pt>
                <c:pt idx="31">
                  <c:v>20700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B-4A0B-9BDD-BB98133CA12C}"/>
            </c:ext>
          </c:extLst>
        </c:ser>
        <c:ser>
          <c:idx val="2"/>
          <c:order val="1"/>
          <c:tx>
            <c:strRef>
              <c:f>'Emission Reudction Wedges'!$B$42</c:f>
              <c:strCache>
                <c:ptCount val="1"/>
                <c:pt idx="0">
                  <c:v>Commercial Use Vehicles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Wedges'!$C$42:$AH$42</c:f>
              <c:numCache>
                <c:formatCode>#,##0</c:formatCode>
                <c:ptCount val="32"/>
                <c:pt idx="0">
                  <c:v>0</c:v>
                </c:pt>
                <c:pt idx="1">
                  <c:v>-3</c:v>
                </c:pt>
                <c:pt idx="2">
                  <c:v>500</c:v>
                </c:pt>
                <c:pt idx="3">
                  <c:v>981</c:v>
                </c:pt>
                <c:pt idx="4">
                  <c:v>1439</c:v>
                </c:pt>
                <c:pt idx="5">
                  <c:v>1874</c:v>
                </c:pt>
                <c:pt idx="6">
                  <c:v>2289</c:v>
                </c:pt>
                <c:pt idx="7">
                  <c:v>2675</c:v>
                </c:pt>
                <c:pt idx="8">
                  <c:v>3037</c:v>
                </c:pt>
                <c:pt idx="9">
                  <c:v>3385</c:v>
                </c:pt>
                <c:pt idx="10">
                  <c:v>3720</c:v>
                </c:pt>
                <c:pt idx="11">
                  <c:v>4046</c:v>
                </c:pt>
                <c:pt idx="12">
                  <c:v>4360</c:v>
                </c:pt>
                <c:pt idx="13">
                  <c:v>4669</c:v>
                </c:pt>
                <c:pt idx="14">
                  <c:v>4973</c:v>
                </c:pt>
                <c:pt idx="15">
                  <c:v>5271</c:v>
                </c:pt>
                <c:pt idx="16">
                  <c:v>5564</c:v>
                </c:pt>
                <c:pt idx="17">
                  <c:v>5412</c:v>
                </c:pt>
                <c:pt idx="18">
                  <c:v>5267</c:v>
                </c:pt>
                <c:pt idx="19">
                  <c:v>5128</c:v>
                </c:pt>
                <c:pt idx="20">
                  <c:v>5076</c:v>
                </c:pt>
                <c:pt idx="21">
                  <c:v>5025</c:v>
                </c:pt>
                <c:pt idx="22">
                  <c:v>4974</c:v>
                </c:pt>
                <c:pt idx="23">
                  <c:v>4924</c:v>
                </c:pt>
                <c:pt idx="24">
                  <c:v>4876</c:v>
                </c:pt>
                <c:pt idx="25">
                  <c:v>4829</c:v>
                </c:pt>
                <c:pt idx="26">
                  <c:v>4782</c:v>
                </c:pt>
                <c:pt idx="27">
                  <c:v>4741</c:v>
                </c:pt>
                <c:pt idx="28">
                  <c:v>4701</c:v>
                </c:pt>
                <c:pt idx="29">
                  <c:v>4663</c:v>
                </c:pt>
                <c:pt idx="30">
                  <c:v>4626</c:v>
                </c:pt>
                <c:pt idx="31">
                  <c:v>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4B-4A0B-9BDD-BB98133CA12C}"/>
            </c:ext>
          </c:extLst>
        </c:ser>
        <c:ser>
          <c:idx val="3"/>
          <c:order val="2"/>
          <c:tx>
            <c:strRef>
              <c:f>'Emission Reudction Wedges'!$B$43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Wedges'!$C$43:$AH$43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</c:v>
                </c:pt>
                <c:pt idx="5">
                  <c:v>421</c:v>
                </c:pt>
                <c:pt idx="6">
                  <c:v>719</c:v>
                </c:pt>
                <c:pt idx="7">
                  <c:v>1163</c:v>
                </c:pt>
                <c:pt idx="8">
                  <c:v>1591</c:v>
                </c:pt>
                <c:pt idx="9">
                  <c:v>2000</c:v>
                </c:pt>
                <c:pt idx="10">
                  <c:v>2376</c:v>
                </c:pt>
                <c:pt idx="11">
                  <c:v>2734</c:v>
                </c:pt>
                <c:pt idx="12">
                  <c:v>3166</c:v>
                </c:pt>
                <c:pt idx="13">
                  <c:v>3580</c:v>
                </c:pt>
                <c:pt idx="14">
                  <c:v>3980</c:v>
                </c:pt>
                <c:pt idx="15">
                  <c:v>4369</c:v>
                </c:pt>
                <c:pt idx="16">
                  <c:v>4763</c:v>
                </c:pt>
                <c:pt idx="17">
                  <c:v>4821</c:v>
                </c:pt>
                <c:pt idx="18">
                  <c:v>4891</c:v>
                </c:pt>
                <c:pt idx="19">
                  <c:v>4972</c:v>
                </c:pt>
                <c:pt idx="20">
                  <c:v>5063</c:v>
                </c:pt>
                <c:pt idx="21">
                  <c:v>5163</c:v>
                </c:pt>
                <c:pt idx="22">
                  <c:v>4997</c:v>
                </c:pt>
                <c:pt idx="23">
                  <c:v>4826</c:v>
                </c:pt>
                <c:pt idx="24">
                  <c:v>4670</c:v>
                </c:pt>
                <c:pt idx="25">
                  <c:v>4521</c:v>
                </c:pt>
                <c:pt idx="26">
                  <c:v>4404</c:v>
                </c:pt>
                <c:pt idx="27">
                  <c:v>4283</c:v>
                </c:pt>
                <c:pt idx="28">
                  <c:v>4167</c:v>
                </c:pt>
                <c:pt idx="29">
                  <c:v>4055</c:v>
                </c:pt>
                <c:pt idx="30">
                  <c:v>3935</c:v>
                </c:pt>
                <c:pt idx="31">
                  <c:v>3840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4B-4A0B-9BDD-BB98133CA12C}"/>
            </c:ext>
          </c:extLst>
        </c:ser>
        <c:ser>
          <c:idx val="4"/>
          <c:order val="3"/>
          <c:tx>
            <c:strRef>
              <c:f>'Emission Reudction Wedges'!$B$44</c:f>
              <c:strCache>
                <c:ptCount val="1"/>
                <c:pt idx="0">
                  <c:v>Industrial Hydrogen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Wedges'!$C$44:$AH$44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225</c:v>
                </c:pt>
                <c:pt idx="5">
                  <c:v>450</c:v>
                </c:pt>
                <c:pt idx="6">
                  <c:v>665</c:v>
                </c:pt>
                <c:pt idx="7">
                  <c:v>873</c:v>
                </c:pt>
                <c:pt idx="8">
                  <c:v>1075</c:v>
                </c:pt>
                <c:pt idx="9">
                  <c:v>1271</c:v>
                </c:pt>
                <c:pt idx="10">
                  <c:v>1462</c:v>
                </c:pt>
                <c:pt idx="11">
                  <c:v>1648</c:v>
                </c:pt>
                <c:pt idx="12">
                  <c:v>2061</c:v>
                </c:pt>
                <c:pt idx="13">
                  <c:v>2463</c:v>
                </c:pt>
                <c:pt idx="14">
                  <c:v>2855</c:v>
                </c:pt>
                <c:pt idx="15">
                  <c:v>3237</c:v>
                </c:pt>
                <c:pt idx="16">
                  <c:v>3611</c:v>
                </c:pt>
                <c:pt idx="17">
                  <c:v>3808</c:v>
                </c:pt>
                <c:pt idx="18">
                  <c:v>4001</c:v>
                </c:pt>
                <c:pt idx="19">
                  <c:v>4191</c:v>
                </c:pt>
                <c:pt idx="20">
                  <c:v>4376</c:v>
                </c:pt>
                <c:pt idx="21">
                  <c:v>4558</c:v>
                </c:pt>
                <c:pt idx="22">
                  <c:v>4731</c:v>
                </c:pt>
                <c:pt idx="23">
                  <c:v>4901</c:v>
                </c:pt>
                <c:pt idx="24">
                  <c:v>5067</c:v>
                </c:pt>
                <c:pt idx="25">
                  <c:v>5229</c:v>
                </c:pt>
                <c:pt idx="26">
                  <c:v>5389</c:v>
                </c:pt>
                <c:pt idx="27">
                  <c:v>5541</c:v>
                </c:pt>
                <c:pt idx="28">
                  <c:v>5690</c:v>
                </c:pt>
                <c:pt idx="29">
                  <c:v>5835</c:v>
                </c:pt>
                <c:pt idx="30">
                  <c:v>5978</c:v>
                </c:pt>
                <c:pt idx="31">
                  <c:v>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4B-4A0B-9BDD-BB98133CA12C}"/>
            </c:ext>
          </c:extLst>
        </c:ser>
        <c:ser>
          <c:idx val="5"/>
          <c:order val="4"/>
          <c:tx>
            <c:strRef>
              <c:f>'Emission Reudction Wedges'!$B$45</c:f>
              <c:strCache>
                <c:ptCount val="1"/>
                <c:pt idx="0">
                  <c:v>Heat Pumps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Wedges'!$C$45:$AH$45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30</c:v>
                </c:pt>
                <c:pt idx="6">
                  <c:v>80</c:v>
                </c:pt>
                <c:pt idx="7">
                  <c:v>147</c:v>
                </c:pt>
                <c:pt idx="8">
                  <c:v>230</c:v>
                </c:pt>
                <c:pt idx="9">
                  <c:v>331</c:v>
                </c:pt>
                <c:pt idx="10">
                  <c:v>562</c:v>
                </c:pt>
                <c:pt idx="11">
                  <c:v>814</c:v>
                </c:pt>
                <c:pt idx="12">
                  <c:v>1065</c:v>
                </c:pt>
                <c:pt idx="13">
                  <c:v>1293</c:v>
                </c:pt>
                <c:pt idx="14">
                  <c:v>1486</c:v>
                </c:pt>
                <c:pt idx="15">
                  <c:v>1635</c:v>
                </c:pt>
                <c:pt idx="16">
                  <c:v>1765</c:v>
                </c:pt>
                <c:pt idx="17">
                  <c:v>1855</c:v>
                </c:pt>
                <c:pt idx="18">
                  <c:v>1910</c:v>
                </c:pt>
                <c:pt idx="19">
                  <c:v>1926</c:v>
                </c:pt>
                <c:pt idx="20">
                  <c:v>1902</c:v>
                </c:pt>
                <c:pt idx="21">
                  <c:v>1871</c:v>
                </c:pt>
                <c:pt idx="22">
                  <c:v>1871</c:v>
                </c:pt>
                <c:pt idx="23">
                  <c:v>1868</c:v>
                </c:pt>
                <c:pt idx="24">
                  <c:v>1849</c:v>
                </c:pt>
                <c:pt idx="25">
                  <c:v>1821</c:v>
                </c:pt>
                <c:pt idx="26">
                  <c:v>1825</c:v>
                </c:pt>
                <c:pt idx="27">
                  <c:v>1814</c:v>
                </c:pt>
                <c:pt idx="28">
                  <c:v>1804</c:v>
                </c:pt>
                <c:pt idx="29">
                  <c:v>1795</c:v>
                </c:pt>
                <c:pt idx="30">
                  <c:v>1773</c:v>
                </c:pt>
                <c:pt idx="31">
                  <c:v>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4B-4A0B-9BDD-BB98133CA12C}"/>
            </c:ext>
          </c:extLst>
        </c:ser>
        <c:ser>
          <c:idx val="6"/>
          <c:order val="5"/>
          <c:tx>
            <c:strRef>
              <c:f>'Emission Reudction Wedges'!$B$46</c:f>
              <c:strCache>
                <c:ptCount val="1"/>
                <c:pt idx="0">
                  <c:v>Residential Decentralized Electricity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Wedges'!$C$46:$AH$46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270</c:v>
                </c:pt>
                <c:pt idx="5">
                  <c:v>484</c:v>
                </c:pt>
                <c:pt idx="6">
                  <c:v>640</c:v>
                </c:pt>
                <c:pt idx="7">
                  <c:v>740</c:v>
                </c:pt>
                <c:pt idx="8">
                  <c:v>782</c:v>
                </c:pt>
                <c:pt idx="9">
                  <c:v>768</c:v>
                </c:pt>
                <c:pt idx="10">
                  <c:v>697</c:v>
                </c:pt>
                <c:pt idx="11">
                  <c:v>569</c:v>
                </c:pt>
                <c:pt idx="12">
                  <c:v>597</c:v>
                </c:pt>
                <c:pt idx="13">
                  <c:v>616</c:v>
                </c:pt>
                <c:pt idx="14">
                  <c:v>626</c:v>
                </c:pt>
                <c:pt idx="15">
                  <c:v>626</c:v>
                </c:pt>
                <c:pt idx="16">
                  <c:v>617</c:v>
                </c:pt>
                <c:pt idx="17">
                  <c:v>555</c:v>
                </c:pt>
                <c:pt idx="18">
                  <c:v>493</c:v>
                </c:pt>
                <c:pt idx="19">
                  <c:v>431</c:v>
                </c:pt>
                <c:pt idx="20">
                  <c:v>370</c:v>
                </c:pt>
                <c:pt idx="21">
                  <c:v>308</c:v>
                </c:pt>
                <c:pt idx="22">
                  <c:v>247</c:v>
                </c:pt>
                <c:pt idx="23">
                  <c:v>185</c:v>
                </c:pt>
                <c:pt idx="24">
                  <c:v>123</c:v>
                </c:pt>
                <c:pt idx="25">
                  <c:v>62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4B-4A0B-9BDD-BB98133CA12C}"/>
            </c:ext>
          </c:extLst>
        </c:ser>
        <c:ser>
          <c:idx val="7"/>
          <c:order val="6"/>
          <c:tx>
            <c:strRef>
              <c:f>'Emission Reudction Wedges'!$B$47</c:f>
              <c:strCache>
                <c:ptCount val="1"/>
                <c:pt idx="0">
                  <c:v>Green Hydrogen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Wedges'!$C$47:$AH$47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-279</c:v>
                </c:pt>
                <c:pt idx="4">
                  <c:v>-479</c:v>
                </c:pt>
                <c:pt idx="5">
                  <c:v>-713</c:v>
                </c:pt>
                <c:pt idx="6">
                  <c:v>-867</c:v>
                </c:pt>
                <c:pt idx="7">
                  <c:v>-947</c:v>
                </c:pt>
                <c:pt idx="8">
                  <c:v>-958</c:v>
                </c:pt>
                <c:pt idx="9">
                  <c:v>-906</c:v>
                </c:pt>
                <c:pt idx="10">
                  <c:v>-791</c:v>
                </c:pt>
                <c:pt idx="11">
                  <c:v>-623</c:v>
                </c:pt>
                <c:pt idx="12">
                  <c:v>-658</c:v>
                </c:pt>
                <c:pt idx="13">
                  <c:v>-678</c:v>
                </c:pt>
                <c:pt idx="14">
                  <c:v>-685</c:v>
                </c:pt>
                <c:pt idx="15">
                  <c:v>-679</c:v>
                </c:pt>
                <c:pt idx="16">
                  <c:v>-663</c:v>
                </c:pt>
                <c:pt idx="17">
                  <c:v>-606</c:v>
                </c:pt>
                <c:pt idx="18">
                  <c:v>-547</c:v>
                </c:pt>
                <c:pt idx="19">
                  <c:v>-487</c:v>
                </c:pt>
                <c:pt idx="20">
                  <c:v>-425</c:v>
                </c:pt>
                <c:pt idx="21">
                  <c:v>-360</c:v>
                </c:pt>
                <c:pt idx="22">
                  <c:v>-294</c:v>
                </c:pt>
                <c:pt idx="23">
                  <c:v>-225</c:v>
                </c:pt>
                <c:pt idx="24">
                  <c:v>-152</c:v>
                </c:pt>
                <c:pt idx="25">
                  <c:v>-78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4B-4A0B-9BDD-BB98133CA12C}"/>
            </c:ext>
          </c:extLst>
        </c:ser>
        <c:ser>
          <c:idx val="8"/>
          <c:order val="7"/>
          <c:tx>
            <c:strRef>
              <c:f>'Emission Reudction Wedges'!$B$48</c:f>
              <c:strCache>
                <c:ptCount val="1"/>
                <c:pt idx="0">
                  <c:v>Industrial Efficiency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Wedges'!$C$48:$AH$48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259</c:v>
                </c:pt>
                <c:pt idx="7">
                  <c:v>506</c:v>
                </c:pt>
                <c:pt idx="8">
                  <c:v>742</c:v>
                </c:pt>
                <c:pt idx="9">
                  <c:v>966</c:v>
                </c:pt>
                <c:pt idx="10">
                  <c:v>1179</c:v>
                </c:pt>
                <c:pt idx="11">
                  <c:v>1382</c:v>
                </c:pt>
                <c:pt idx="12">
                  <c:v>1590</c:v>
                </c:pt>
                <c:pt idx="13">
                  <c:v>1791</c:v>
                </c:pt>
                <c:pt idx="14">
                  <c:v>1986</c:v>
                </c:pt>
                <c:pt idx="15">
                  <c:v>2177</c:v>
                </c:pt>
                <c:pt idx="16">
                  <c:v>2361</c:v>
                </c:pt>
                <c:pt idx="17">
                  <c:v>2542</c:v>
                </c:pt>
                <c:pt idx="18">
                  <c:v>2718</c:v>
                </c:pt>
                <c:pt idx="19">
                  <c:v>2889</c:v>
                </c:pt>
                <c:pt idx="20">
                  <c:v>3058</c:v>
                </c:pt>
                <c:pt idx="21">
                  <c:v>3973</c:v>
                </c:pt>
                <c:pt idx="22">
                  <c:v>4134</c:v>
                </c:pt>
                <c:pt idx="23">
                  <c:v>3531</c:v>
                </c:pt>
                <c:pt idx="24">
                  <c:v>3679</c:v>
                </c:pt>
                <c:pt idx="25">
                  <c:v>3824</c:v>
                </c:pt>
                <c:pt idx="26">
                  <c:v>3965</c:v>
                </c:pt>
                <c:pt idx="27">
                  <c:v>4108</c:v>
                </c:pt>
                <c:pt idx="28">
                  <c:v>4247</c:v>
                </c:pt>
                <c:pt idx="29">
                  <c:v>4383</c:v>
                </c:pt>
                <c:pt idx="30">
                  <c:v>4516</c:v>
                </c:pt>
                <c:pt idx="31">
                  <c:v>4647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4B-4A0B-9BDD-BB98133CA12C}"/>
            </c:ext>
          </c:extLst>
        </c:ser>
        <c:ser>
          <c:idx val="9"/>
          <c:order val="8"/>
          <c:tx>
            <c:strRef>
              <c:f>'Emission Reudction Wedges'!$B$49</c:f>
              <c:strCache>
                <c:ptCount val="1"/>
                <c:pt idx="0">
                  <c:v>Marine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Wedges'!$C$49:$AH$49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146</c:v>
                </c:pt>
                <c:pt idx="6">
                  <c:v>275</c:v>
                </c:pt>
                <c:pt idx="7">
                  <c:v>408</c:v>
                </c:pt>
                <c:pt idx="8">
                  <c:v>546</c:v>
                </c:pt>
                <c:pt idx="9">
                  <c:v>689</c:v>
                </c:pt>
                <c:pt idx="10">
                  <c:v>836</c:v>
                </c:pt>
                <c:pt idx="11">
                  <c:v>988</c:v>
                </c:pt>
                <c:pt idx="12">
                  <c:v>1115</c:v>
                </c:pt>
                <c:pt idx="13">
                  <c:v>1242</c:v>
                </c:pt>
                <c:pt idx="14">
                  <c:v>1366</c:v>
                </c:pt>
                <c:pt idx="15">
                  <c:v>1486</c:v>
                </c:pt>
                <c:pt idx="16">
                  <c:v>1605</c:v>
                </c:pt>
                <c:pt idx="17">
                  <c:v>1722</c:v>
                </c:pt>
                <c:pt idx="18">
                  <c:v>1836</c:v>
                </c:pt>
                <c:pt idx="19">
                  <c:v>1948</c:v>
                </c:pt>
                <c:pt idx="20">
                  <c:v>2087</c:v>
                </c:pt>
                <c:pt idx="21">
                  <c:v>1476</c:v>
                </c:pt>
                <c:pt idx="22">
                  <c:v>1484</c:v>
                </c:pt>
                <c:pt idx="23">
                  <c:v>2251</c:v>
                </c:pt>
                <c:pt idx="24">
                  <c:v>2263</c:v>
                </c:pt>
                <c:pt idx="25">
                  <c:v>2275</c:v>
                </c:pt>
                <c:pt idx="26">
                  <c:v>2287</c:v>
                </c:pt>
                <c:pt idx="27">
                  <c:v>2287</c:v>
                </c:pt>
                <c:pt idx="28">
                  <c:v>2287</c:v>
                </c:pt>
                <c:pt idx="29">
                  <c:v>2287</c:v>
                </c:pt>
                <c:pt idx="30">
                  <c:v>2287</c:v>
                </c:pt>
                <c:pt idx="31">
                  <c:v>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4B-4A0B-9BDD-BB98133CA12C}"/>
            </c:ext>
          </c:extLst>
        </c:ser>
        <c:ser>
          <c:idx val="10"/>
          <c:order val="9"/>
          <c:tx>
            <c:strRef>
              <c:f>'Emission Reudction Wedges'!$B$50</c:f>
              <c:strCache>
                <c:ptCount val="1"/>
                <c:pt idx="0">
                  <c:v>Building Retrofits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Wedges'!$C$50:$AH$50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44</c:v>
                </c:pt>
                <c:pt idx="4">
                  <c:v>144</c:v>
                </c:pt>
                <c:pt idx="5">
                  <c:v>290</c:v>
                </c:pt>
                <c:pt idx="6">
                  <c:v>432</c:v>
                </c:pt>
                <c:pt idx="7">
                  <c:v>567</c:v>
                </c:pt>
                <c:pt idx="8">
                  <c:v>693</c:v>
                </c:pt>
                <c:pt idx="9">
                  <c:v>800</c:v>
                </c:pt>
                <c:pt idx="10">
                  <c:v>881</c:v>
                </c:pt>
                <c:pt idx="11">
                  <c:v>942</c:v>
                </c:pt>
                <c:pt idx="12">
                  <c:v>1059</c:v>
                </c:pt>
                <c:pt idx="13">
                  <c:v>1168</c:v>
                </c:pt>
                <c:pt idx="14">
                  <c:v>1269</c:v>
                </c:pt>
                <c:pt idx="15">
                  <c:v>1356</c:v>
                </c:pt>
                <c:pt idx="16">
                  <c:v>1468</c:v>
                </c:pt>
                <c:pt idx="17">
                  <c:v>1574</c:v>
                </c:pt>
                <c:pt idx="18">
                  <c:v>1683</c:v>
                </c:pt>
                <c:pt idx="19">
                  <c:v>1794</c:v>
                </c:pt>
                <c:pt idx="20">
                  <c:v>1882</c:v>
                </c:pt>
                <c:pt idx="21">
                  <c:v>1999</c:v>
                </c:pt>
                <c:pt idx="22">
                  <c:v>1885</c:v>
                </c:pt>
                <c:pt idx="23">
                  <c:v>1766</c:v>
                </c:pt>
                <c:pt idx="24">
                  <c:v>1661</c:v>
                </c:pt>
                <c:pt idx="25">
                  <c:v>1530</c:v>
                </c:pt>
                <c:pt idx="26">
                  <c:v>1443</c:v>
                </c:pt>
                <c:pt idx="27">
                  <c:v>1399</c:v>
                </c:pt>
                <c:pt idx="28">
                  <c:v>1359</c:v>
                </c:pt>
                <c:pt idx="29">
                  <c:v>1321</c:v>
                </c:pt>
                <c:pt idx="30">
                  <c:v>1263</c:v>
                </c:pt>
                <c:pt idx="31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4B-4A0B-9BDD-BB98133CA12C}"/>
            </c:ext>
          </c:extLst>
        </c:ser>
        <c:ser>
          <c:idx val="11"/>
          <c:order val="10"/>
          <c:tx>
            <c:strRef>
              <c:f>'Emission Reudction Wedges'!$B$51</c:f>
              <c:strCache>
                <c:ptCount val="1"/>
                <c:pt idx="0">
                  <c:v>Decrease VMT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Wedges'!$C$51:$AH$51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150</c:v>
                </c:pt>
                <c:pt idx="3">
                  <c:v>290</c:v>
                </c:pt>
                <c:pt idx="4">
                  <c:v>420</c:v>
                </c:pt>
                <c:pt idx="5">
                  <c:v>536</c:v>
                </c:pt>
                <c:pt idx="6">
                  <c:v>627</c:v>
                </c:pt>
                <c:pt idx="7">
                  <c:v>712</c:v>
                </c:pt>
                <c:pt idx="8">
                  <c:v>777</c:v>
                </c:pt>
                <c:pt idx="9">
                  <c:v>828</c:v>
                </c:pt>
                <c:pt idx="10">
                  <c:v>864</c:v>
                </c:pt>
                <c:pt idx="11">
                  <c:v>892</c:v>
                </c:pt>
                <c:pt idx="12">
                  <c:v>920</c:v>
                </c:pt>
                <c:pt idx="13">
                  <c:v>945</c:v>
                </c:pt>
                <c:pt idx="14">
                  <c:v>966</c:v>
                </c:pt>
                <c:pt idx="15">
                  <c:v>971</c:v>
                </c:pt>
                <c:pt idx="16">
                  <c:v>977</c:v>
                </c:pt>
                <c:pt idx="17">
                  <c:v>956</c:v>
                </c:pt>
                <c:pt idx="18">
                  <c:v>932</c:v>
                </c:pt>
                <c:pt idx="19">
                  <c:v>908</c:v>
                </c:pt>
                <c:pt idx="20">
                  <c:v>896</c:v>
                </c:pt>
                <c:pt idx="21">
                  <c:v>887</c:v>
                </c:pt>
                <c:pt idx="22">
                  <c:v>879</c:v>
                </c:pt>
                <c:pt idx="23">
                  <c:v>871</c:v>
                </c:pt>
                <c:pt idx="24">
                  <c:v>864</c:v>
                </c:pt>
                <c:pt idx="25">
                  <c:v>858</c:v>
                </c:pt>
                <c:pt idx="26">
                  <c:v>852</c:v>
                </c:pt>
                <c:pt idx="27">
                  <c:v>851</c:v>
                </c:pt>
                <c:pt idx="28">
                  <c:v>852</c:v>
                </c:pt>
                <c:pt idx="29">
                  <c:v>853</c:v>
                </c:pt>
                <c:pt idx="30">
                  <c:v>854</c:v>
                </c:pt>
                <c:pt idx="31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4B-4A0B-9BDD-BB98133CA12C}"/>
            </c:ext>
          </c:extLst>
        </c:ser>
        <c:ser>
          <c:idx val="12"/>
          <c:order val="11"/>
          <c:tx>
            <c:strRef>
              <c:f>'Emission Reudction Wedges'!$B$52</c:f>
              <c:strCache>
                <c:ptCount val="1"/>
                <c:pt idx="0">
                  <c:v>Urban Planning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Wedges'!$C$52:$AH$52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157</c:v>
                </c:pt>
                <c:pt idx="3">
                  <c:v>311</c:v>
                </c:pt>
                <c:pt idx="4">
                  <c:v>463</c:v>
                </c:pt>
                <c:pt idx="5">
                  <c:v>599</c:v>
                </c:pt>
                <c:pt idx="6">
                  <c:v>686</c:v>
                </c:pt>
                <c:pt idx="7">
                  <c:v>777</c:v>
                </c:pt>
                <c:pt idx="8">
                  <c:v>841</c:v>
                </c:pt>
                <c:pt idx="9">
                  <c:v>878</c:v>
                </c:pt>
                <c:pt idx="10">
                  <c:v>890</c:v>
                </c:pt>
                <c:pt idx="11">
                  <c:v>888</c:v>
                </c:pt>
                <c:pt idx="12">
                  <c:v>893</c:v>
                </c:pt>
                <c:pt idx="13">
                  <c:v>899</c:v>
                </c:pt>
                <c:pt idx="14">
                  <c:v>897</c:v>
                </c:pt>
                <c:pt idx="15">
                  <c:v>863</c:v>
                </c:pt>
                <c:pt idx="16">
                  <c:v>839</c:v>
                </c:pt>
                <c:pt idx="17">
                  <c:v>792</c:v>
                </c:pt>
                <c:pt idx="18">
                  <c:v>729</c:v>
                </c:pt>
                <c:pt idx="19">
                  <c:v>655</c:v>
                </c:pt>
                <c:pt idx="20">
                  <c:v>583</c:v>
                </c:pt>
                <c:pt idx="21">
                  <c:v>509</c:v>
                </c:pt>
                <c:pt idx="22">
                  <c:v>409</c:v>
                </c:pt>
                <c:pt idx="23">
                  <c:v>318</c:v>
                </c:pt>
                <c:pt idx="24">
                  <c:v>238</c:v>
                </c:pt>
                <c:pt idx="25">
                  <c:v>170</c:v>
                </c:pt>
                <c:pt idx="26">
                  <c:v>114</c:v>
                </c:pt>
                <c:pt idx="27">
                  <c:v>81</c:v>
                </c:pt>
                <c:pt idx="28">
                  <c:v>58</c:v>
                </c:pt>
                <c:pt idx="29">
                  <c:v>44</c:v>
                </c:pt>
                <c:pt idx="30">
                  <c:v>35</c:v>
                </c:pt>
                <c:pt idx="3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4B-4A0B-9BDD-BB98133CA12C}"/>
            </c:ext>
          </c:extLst>
        </c:ser>
        <c:ser>
          <c:idx val="13"/>
          <c:order val="12"/>
          <c:tx>
            <c:strRef>
              <c:f>'Emission Reudction Wedges'!$B$53</c:f>
              <c:strCache>
                <c:ptCount val="1"/>
                <c:pt idx="0">
                  <c:v>Transit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Wedges'!$C$53:$AH$53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121</c:v>
                </c:pt>
                <c:pt idx="3">
                  <c:v>233</c:v>
                </c:pt>
                <c:pt idx="4">
                  <c:v>341</c:v>
                </c:pt>
                <c:pt idx="5">
                  <c:v>435</c:v>
                </c:pt>
                <c:pt idx="6">
                  <c:v>491</c:v>
                </c:pt>
                <c:pt idx="7">
                  <c:v>549</c:v>
                </c:pt>
                <c:pt idx="8">
                  <c:v>587</c:v>
                </c:pt>
                <c:pt idx="9">
                  <c:v>603</c:v>
                </c:pt>
                <c:pt idx="10">
                  <c:v>602</c:v>
                </c:pt>
                <c:pt idx="11">
                  <c:v>595</c:v>
                </c:pt>
                <c:pt idx="12">
                  <c:v>591</c:v>
                </c:pt>
                <c:pt idx="13">
                  <c:v>585</c:v>
                </c:pt>
                <c:pt idx="14">
                  <c:v>576</c:v>
                </c:pt>
                <c:pt idx="15">
                  <c:v>545</c:v>
                </c:pt>
                <c:pt idx="16">
                  <c:v>522</c:v>
                </c:pt>
                <c:pt idx="17">
                  <c:v>483</c:v>
                </c:pt>
                <c:pt idx="18">
                  <c:v>435</c:v>
                </c:pt>
                <c:pt idx="19">
                  <c:v>383</c:v>
                </c:pt>
                <c:pt idx="20">
                  <c:v>333</c:v>
                </c:pt>
                <c:pt idx="21">
                  <c:v>284</c:v>
                </c:pt>
                <c:pt idx="22">
                  <c:v>227</c:v>
                </c:pt>
                <c:pt idx="23">
                  <c:v>175</c:v>
                </c:pt>
                <c:pt idx="24">
                  <c:v>129</c:v>
                </c:pt>
                <c:pt idx="25">
                  <c:v>89</c:v>
                </c:pt>
                <c:pt idx="26">
                  <c:v>56</c:v>
                </c:pt>
                <c:pt idx="27">
                  <c:v>36</c:v>
                </c:pt>
                <c:pt idx="28">
                  <c:v>21</c:v>
                </c:pt>
                <c:pt idx="29">
                  <c:v>11</c:v>
                </c:pt>
                <c:pt idx="30">
                  <c:v>5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4B-4A0B-9BDD-BB98133CA12C}"/>
            </c:ext>
          </c:extLst>
        </c:ser>
        <c:ser>
          <c:idx val="14"/>
          <c:order val="13"/>
          <c:tx>
            <c:strRef>
              <c:f>'Emission Reudction Wedges'!$B$54</c:f>
              <c:strCache>
                <c:ptCount val="1"/>
                <c:pt idx="0">
                  <c:v>CETA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Wedges'!$C$54:$AH$54</c:f>
              <c:numCache>
                <c:formatCode>#,##0</c:formatCode>
                <c:ptCount val="32"/>
                <c:pt idx="0">
                  <c:v>0</c:v>
                </c:pt>
                <c:pt idx="1">
                  <c:v>100.3</c:v>
                </c:pt>
                <c:pt idx="2">
                  <c:v>139.69999999999999</c:v>
                </c:pt>
                <c:pt idx="3">
                  <c:v>202.7</c:v>
                </c:pt>
                <c:pt idx="4">
                  <c:v>290</c:v>
                </c:pt>
                <c:pt idx="5">
                  <c:v>401.7</c:v>
                </c:pt>
                <c:pt idx="6">
                  <c:v>15843.47</c:v>
                </c:pt>
                <c:pt idx="7">
                  <c:v>16148.51</c:v>
                </c:pt>
                <c:pt idx="8">
                  <c:v>16466.25</c:v>
                </c:pt>
                <c:pt idx="9">
                  <c:v>16794.95</c:v>
                </c:pt>
                <c:pt idx="10">
                  <c:v>17133.900000000001</c:v>
                </c:pt>
                <c:pt idx="11">
                  <c:v>22228</c:v>
                </c:pt>
                <c:pt idx="12">
                  <c:v>22325.31</c:v>
                </c:pt>
                <c:pt idx="13">
                  <c:v>22423.439999999999</c:v>
                </c:pt>
                <c:pt idx="14">
                  <c:v>22526.23</c:v>
                </c:pt>
                <c:pt idx="15">
                  <c:v>22630.47</c:v>
                </c:pt>
                <c:pt idx="16">
                  <c:v>22737.55</c:v>
                </c:pt>
                <c:pt idx="17">
                  <c:v>22837.24</c:v>
                </c:pt>
                <c:pt idx="18">
                  <c:v>22938.04</c:v>
                </c:pt>
                <c:pt idx="19">
                  <c:v>23040.22</c:v>
                </c:pt>
                <c:pt idx="20">
                  <c:v>23143.919999999998</c:v>
                </c:pt>
                <c:pt idx="21">
                  <c:v>23248.85</c:v>
                </c:pt>
                <c:pt idx="22">
                  <c:v>23356.42</c:v>
                </c:pt>
                <c:pt idx="23">
                  <c:v>23464.98</c:v>
                </c:pt>
                <c:pt idx="24">
                  <c:v>23574.68</c:v>
                </c:pt>
                <c:pt idx="25">
                  <c:v>23685.63</c:v>
                </c:pt>
                <c:pt idx="26">
                  <c:v>25001.93</c:v>
                </c:pt>
                <c:pt idx="27">
                  <c:v>25048.23</c:v>
                </c:pt>
                <c:pt idx="28">
                  <c:v>25094.95</c:v>
                </c:pt>
                <c:pt idx="29">
                  <c:v>25141.87</c:v>
                </c:pt>
                <c:pt idx="30">
                  <c:v>25189.07</c:v>
                </c:pt>
                <c:pt idx="31">
                  <c:v>25236.3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04B-4A0B-9BDD-BB98133CA12C}"/>
            </c:ext>
          </c:extLst>
        </c:ser>
        <c:ser>
          <c:idx val="15"/>
          <c:order val="14"/>
          <c:tx>
            <c:strRef>
              <c:f>'Emission Reudction Wedges'!$B$55</c:f>
              <c:strCache>
                <c:ptCount val="1"/>
                <c:pt idx="0">
                  <c:v>BAP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'Emission Reudction Wedges'!$C$40:$AH$40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'Emission Reudction Wedges'!$C$55:$AH$55</c:f>
              <c:numCache>
                <c:formatCode>#,##0</c:formatCode>
                <c:ptCount val="32"/>
                <c:pt idx="0">
                  <c:v>0</c:v>
                </c:pt>
                <c:pt idx="1">
                  <c:v>211.5</c:v>
                </c:pt>
                <c:pt idx="2">
                  <c:v>1087</c:v>
                </c:pt>
                <c:pt idx="3">
                  <c:v>1983.6</c:v>
                </c:pt>
                <c:pt idx="4">
                  <c:v>2902.4</c:v>
                </c:pt>
                <c:pt idx="5">
                  <c:v>4128.1000000000004</c:v>
                </c:pt>
                <c:pt idx="6">
                  <c:v>5210.5</c:v>
                </c:pt>
                <c:pt idx="7">
                  <c:v>6368.02</c:v>
                </c:pt>
                <c:pt idx="8">
                  <c:v>7604.2</c:v>
                </c:pt>
                <c:pt idx="9">
                  <c:v>8949.33</c:v>
                </c:pt>
                <c:pt idx="10">
                  <c:v>10477.59</c:v>
                </c:pt>
                <c:pt idx="11">
                  <c:v>12014.57</c:v>
                </c:pt>
                <c:pt idx="12">
                  <c:v>13599.01</c:v>
                </c:pt>
                <c:pt idx="13">
                  <c:v>15189.25</c:v>
                </c:pt>
                <c:pt idx="14">
                  <c:v>16772.89</c:v>
                </c:pt>
                <c:pt idx="15">
                  <c:v>18434</c:v>
                </c:pt>
                <c:pt idx="16">
                  <c:v>19863.68</c:v>
                </c:pt>
                <c:pt idx="17">
                  <c:v>21312.18</c:v>
                </c:pt>
                <c:pt idx="18">
                  <c:v>22741.98</c:v>
                </c:pt>
                <c:pt idx="19">
                  <c:v>24126.81</c:v>
                </c:pt>
                <c:pt idx="20">
                  <c:v>25196.41</c:v>
                </c:pt>
                <c:pt idx="21">
                  <c:v>26121.02</c:v>
                </c:pt>
                <c:pt idx="22">
                  <c:v>27036.34</c:v>
                </c:pt>
                <c:pt idx="23">
                  <c:v>27876.95</c:v>
                </c:pt>
                <c:pt idx="24">
                  <c:v>28630.68</c:v>
                </c:pt>
                <c:pt idx="25">
                  <c:v>29348.33</c:v>
                </c:pt>
                <c:pt idx="26">
                  <c:v>29903.32</c:v>
                </c:pt>
                <c:pt idx="27">
                  <c:v>30417.82</c:v>
                </c:pt>
                <c:pt idx="28">
                  <c:v>30890.07</c:v>
                </c:pt>
                <c:pt idx="29">
                  <c:v>31333.17</c:v>
                </c:pt>
                <c:pt idx="30">
                  <c:v>31803.93</c:v>
                </c:pt>
                <c:pt idx="31">
                  <c:v>32165.23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4B-4A0B-9BDD-BB98133C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687055"/>
        <c:axId val="1369685391"/>
      </c:areaChart>
      <c:lineChart>
        <c:grouping val="standard"/>
        <c:varyColors val="0"/>
        <c:ser>
          <c:idx val="16"/>
          <c:order val="15"/>
          <c:tx>
            <c:strRef>
              <c:f>'Emission Reudction Wedges'!$B$56</c:f>
              <c:strCache>
                <c:ptCount val="1"/>
                <c:pt idx="0">
                  <c:v>2030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'Emission Reudction Wedges'!$C$56:$AH$56</c:f>
              <c:numCache>
                <c:formatCode>#,##0</c:formatCode>
                <c:ptCount val="32"/>
                <c:pt idx="0">
                  <c:v>49770</c:v>
                </c:pt>
                <c:pt idx="1">
                  <c:v>49770</c:v>
                </c:pt>
                <c:pt idx="2">
                  <c:v>49770</c:v>
                </c:pt>
                <c:pt idx="3">
                  <c:v>49770</c:v>
                </c:pt>
                <c:pt idx="4">
                  <c:v>49770</c:v>
                </c:pt>
                <c:pt idx="5">
                  <c:v>49770</c:v>
                </c:pt>
                <c:pt idx="6">
                  <c:v>49770</c:v>
                </c:pt>
                <c:pt idx="7">
                  <c:v>49770</c:v>
                </c:pt>
                <c:pt idx="8">
                  <c:v>49770</c:v>
                </c:pt>
                <c:pt idx="9">
                  <c:v>49770</c:v>
                </c:pt>
                <c:pt idx="10">
                  <c:v>49770</c:v>
                </c:pt>
                <c:pt idx="11">
                  <c:v>49770</c:v>
                </c:pt>
                <c:pt idx="12">
                  <c:v>49770</c:v>
                </c:pt>
                <c:pt idx="13">
                  <c:v>49770</c:v>
                </c:pt>
                <c:pt idx="14">
                  <c:v>49770</c:v>
                </c:pt>
                <c:pt idx="15">
                  <c:v>49770</c:v>
                </c:pt>
                <c:pt idx="16">
                  <c:v>49770</c:v>
                </c:pt>
                <c:pt idx="17">
                  <c:v>49770</c:v>
                </c:pt>
                <c:pt idx="18">
                  <c:v>49770</c:v>
                </c:pt>
                <c:pt idx="19">
                  <c:v>49770</c:v>
                </c:pt>
                <c:pt idx="20">
                  <c:v>49770</c:v>
                </c:pt>
                <c:pt idx="21">
                  <c:v>49770</c:v>
                </c:pt>
                <c:pt idx="22">
                  <c:v>49770</c:v>
                </c:pt>
                <c:pt idx="23">
                  <c:v>49770</c:v>
                </c:pt>
                <c:pt idx="24">
                  <c:v>49770</c:v>
                </c:pt>
                <c:pt idx="25">
                  <c:v>49770</c:v>
                </c:pt>
                <c:pt idx="26">
                  <c:v>49770</c:v>
                </c:pt>
                <c:pt idx="27">
                  <c:v>49770</c:v>
                </c:pt>
                <c:pt idx="28">
                  <c:v>49770</c:v>
                </c:pt>
                <c:pt idx="29">
                  <c:v>49770</c:v>
                </c:pt>
                <c:pt idx="30">
                  <c:v>49770</c:v>
                </c:pt>
                <c:pt idx="31">
                  <c:v>49770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04B-4A0B-9BDD-BB98133CA12C}"/>
            </c:ext>
          </c:extLst>
        </c:ser>
        <c:ser>
          <c:idx val="17"/>
          <c:order val="16"/>
          <c:tx>
            <c:strRef>
              <c:f>'Emission Reudction Wedges'!$B$57</c:f>
              <c:strCache>
                <c:ptCount val="1"/>
                <c:pt idx="0">
                  <c:v>2040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'Emission Reudction Wedges'!$C$57:$AH$57</c:f>
              <c:numCache>
                <c:formatCode>#,##0</c:formatCode>
                <c:ptCount val="32"/>
                <c:pt idx="0">
                  <c:v>27147</c:v>
                </c:pt>
                <c:pt idx="1">
                  <c:v>27147</c:v>
                </c:pt>
                <c:pt idx="2">
                  <c:v>27147</c:v>
                </c:pt>
                <c:pt idx="3">
                  <c:v>27147</c:v>
                </c:pt>
                <c:pt idx="4">
                  <c:v>27147</c:v>
                </c:pt>
                <c:pt idx="5">
                  <c:v>27147</c:v>
                </c:pt>
                <c:pt idx="6">
                  <c:v>27147</c:v>
                </c:pt>
                <c:pt idx="7">
                  <c:v>27147</c:v>
                </c:pt>
                <c:pt idx="8">
                  <c:v>27147</c:v>
                </c:pt>
                <c:pt idx="9">
                  <c:v>27147</c:v>
                </c:pt>
                <c:pt idx="10">
                  <c:v>27147</c:v>
                </c:pt>
                <c:pt idx="11">
                  <c:v>27147</c:v>
                </c:pt>
                <c:pt idx="12">
                  <c:v>27147</c:v>
                </c:pt>
                <c:pt idx="13">
                  <c:v>27147</c:v>
                </c:pt>
                <c:pt idx="14">
                  <c:v>27147</c:v>
                </c:pt>
                <c:pt idx="15">
                  <c:v>27147</c:v>
                </c:pt>
                <c:pt idx="16">
                  <c:v>27147</c:v>
                </c:pt>
                <c:pt idx="17">
                  <c:v>27147</c:v>
                </c:pt>
                <c:pt idx="18">
                  <c:v>27147</c:v>
                </c:pt>
                <c:pt idx="19">
                  <c:v>27147</c:v>
                </c:pt>
                <c:pt idx="20">
                  <c:v>27147</c:v>
                </c:pt>
                <c:pt idx="21">
                  <c:v>27147</c:v>
                </c:pt>
                <c:pt idx="22">
                  <c:v>27147</c:v>
                </c:pt>
                <c:pt idx="23">
                  <c:v>27147</c:v>
                </c:pt>
                <c:pt idx="24">
                  <c:v>27147</c:v>
                </c:pt>
                <c:pt idx="25">
                  <c:v>27147</c:v>
                </c:pt>
                <c:pt idx="26">
                  <c:v>27147</c:v>
                </c:pt>
                <c:pt idx="27">
                  <c:v>27147</c:v>
                </c:pt>
                <c:pt idx="28">
                  <c:v>27147</c:v>
                </c:pt>
                <c:pt idx="29">
                  <c:v>27147</c:v>
                </c:pt>
                <c:pt idx="30">
                  <c:v>27147</c:v>
                </c:pt>
                <c:pt idx="31">
                  <c:v>27147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04B-4A0B-9BDD-BB98133CA12C}"/>
            </c:ext>
          </c:extLst>
        </c:ser>
        <c:ser>
          <c:idx val="18"/>
          <c:order val="17"/>
          <c:tx>
            <c:strRef>
              <c:f>'Emission Reudction Wedges'!$B$58</c:f>
              <c:strCache>
                <c:ptCount val="1"/>
                <c:pt idx="0">
                  <c:v>2050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'Emission Reudction Wedges'!$C$58:$AH$58</c:f>
              <c:numCache>
                <c:formatCode>#,##0</c:formatCode>
                <c:ptCount val="32"/>
                <c:pt idx="0">
                  <c:v>9049</c:v>
                </c:pt>
                <c:pt idx="1">
                  <c:v>9049</c:v>
                </c:pt>
                <c:pt idx="2">
                  <c:v>9049</c:v>
                </c:pt>
                <c:pt idx="3">
                  <c:v>9049</c:v>
                </c:pt>
                <c:pt idx="4">
                  <c:v>9049</c:v>
                </c:pt>
                <c:pt idx="5">
                  <c:v>9049</c:v>
                </c:pt>
                <c:pt idx="6">
                  <c:v>9049</c:v>
                </c:pt>
                <c:pt idx="7">
                  <c:v>9049</c:v>
                </c:pt>
                <c:pt idx="8">
                  <c:v>9049</c:v>
                </c:pt>
                <c:pt idx="9">
                  <c:v>9049</c:v>
                </c:pt>
                <c:pt idx="10">
                  <c:v>9049</c:v>
                </c:pt>
                <c:pt idx="11">
                  <c:v>9049</c:v>
                </c:pt>
                <c:pt idx="12">
                  <c:v>9049</c:v>
                </c:pt>
                <c:pt idx="13">
                  <c:v>9049</c:v>
                </c:pt>
                <c:pt idx="14">
                  <c:v>9049</c:v>
                </c:pt>
                <c:pt idx="15">
                  <c:v>9049</c:v>
                </c:pt>
                <c:pt idx="16">
                  <c:v>9049</c:v>
                </c:pt>
                <c:pt idx="17">
                  <c:v>9049</c:v>
                </c:pt>
                <c:pt idx="18">
                  <c:v>9049</c:v>
                </c:pt>
                <c:pt idx="19">
                  <c:v>9049</c:v>
                </c:pt>
                <c:pt idx="20">
                  <c:v>9049</c:v>
                </c:pt>
                <c:pt idx="21">
                  <c:v>9049</c:v>
                </c:pt>
                <c:pt idx="22">
                  <c:v>9049</c:v>
                </c:pt>
                <c:pt idx="23">
                  <c:v>9049</c:v>
                </c:pt>
                <c:pt idx="24">
                  <c:v>9049</c:v>
                </c:pt>
                <c:pt idx="25">
                  <c:v>9049</c:v>
                </c:pt>
                <c:pt idx="26">
                  <c:v>9049</c:v>
                </c:pt>
                <c:pt idx="27">
                  <c:v>9049</c:v>
                </c:pt>
                <c:pt idx="28">
                  <c:v>9049</c:v>
                </c:pt>
                <c:pt idx="29">
                  <c:v>9049</c:v>
                </c:pt>
                <c:pt idx="30">
                  <c:v>9049</c:v>
                </c:pt>
                <c:pt idx="31">
                  <c:v>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04B-4A0B-9BDD-BB98133C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687055"/>
        <c:axId val="1369685391"/>
      </c:lineChart>
      <c:catAx>
        <c:axId val="136968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685391"/>
        <c:crosses val="autoZero"/>
        <c:auto val="1"/>
        <c:lblAlgn val="ctr"/>
        <c:lblOffset val="100"/>
        <c:noMultiLvlLbl val="0"/>
      </c:catAx>
      <c:valAx>
        <c:axId val="136968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MTCO2e</a:t>
                </a:r>
                <a:r>
                  <a:rPr lang="en-CA" baseline="0"/>
                  <a:t> (millions)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687055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Emissions'!$B$59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Emissions'!$C$59,'Total Emissions'!$AH$59)</c:f>
              <c:numCache>
                <c:formatCode>General</c:formatCode>
                <c:ptCount val="2"/>
                <c:pt idx="0">
                  <c:v>24286310</c:v>
                </c:pt>
                <c:pt idx="1">
                  <c:v>40572.46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5-4046-9E53-73268A074009}"/>
            </c:ext>
          </c:extLst>
        </c:ser>
        <c:ser>
          <c:idx val="1"/>
          <c:order val="1"/>
          <c:tx>
            <c:strRef>
              <c:f>'Total Emissions'!$B$62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Emissions'!$C$62,'Total Emissions'!$AH$62)</c:f>
              <c:numCache>
                <c:formatCode>General</c:formatCode>
                <c:ptCount val="2"/>
                <c:pt idx="0">
                  <c:v>21637454.120000001</c:v>
                </c:pt>
                <c:pt idx="1">
                  <c:v>3895696.5329999998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5-4046-9E53-73268A074009}"/>
            </c:ext>
          </c:extLst>
        </c:ser>
        <c:ser>
          <c:idx val="2"/>
          <c:order val="2"/>
          <c:tx>
            <c:strRef>
              <c:f>'Total Emissions'!$B$56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Emissions'!$C$56,'Total Emissions'!$AH$56)</c:f>
              <c:numCache>
                <c:formatCode>General</c:formatCode>
                <c:ptCount val="2"/>
                <c:pt idx="0">
                  <c:v>16213790</c:v>
                </c:pt>
                <c:pt idx="1">
                  <c:v>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5-4046-9E53-73268A074009}"/>
            </c:ext>
          </c:extLst>
        </c:ser>
        <c:ser>
          <c:idx val="3"/>
          <c:order val="3"/>
          <c:tx>
            <c:strRef>
              <c:f>'Total Emissions'!$B$60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Emissions'!$C$60,'Total Emissions'!$AH$60)</c:f>
              <c:numCache>
                <c:formatCode>General</c:formatCode>
                <c:ptCount val="2"/>
                <c:pt idx="0">
                  <c:v>9786438.5133999996</c:v>
                </c:pt>
                <c:pt idx="1">
                  <c:v>754746.91020000004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5-4046-9E53-73268A074009}"/>
            </c:ext>
          </c:extLst>
        </c:ser>
        <c:ser>
          <c:idx val="4"/>
          <c:order val="4"/>
          <c:tx>
            <c:strRef>
              <c:f>'Total Emissions'!$B$55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Emissions'!$C$55,'Total Emissions'!$AH$55)</c:f>
              <c:numCache>
                <c:formatCode>General</c:formatCode>
                <c:ptCount val="2"/>
                <c:pt idx="0">
                  <c:v>8510024.0999999996</c:v>
                </c:pt>
                <c:pt idx="1">
                  <c:v>383073.8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85-4046-9E53-73268A074009}"/>
            </c:ext>
          </c:extLst>
        </c:ser>
        <c:ser>
          <c:idx val="5"/>
          <c:order val="5"/>
          <c:tx>
            <c:strRef>
              <c:f>'Total Emissions'!$B$61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Emissions'!$C$61,'Total Emissions'!$AH$61)</c:f>
              <c:numCache>
                <c:formatCode>General</c:formatCode>
                <c:ptCount val="2"/>
                <c:pt idx="0">
                  <c:v>7872484</c:v>
                </c:pt>
                <c:pt idx="1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85-4046-9E53-73268A074009}"/>
            </c:ext>
          </c:extLst>
        </c:ser>
        <c:ser>
          <c:idx val="6"/>
          <c:order val="6"/>
          <c:tx>
            <c:strRef>
              <c:f>'Total Emissions'!$B$57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Emissions'!$C$57,'Total Emissions'!$AH$57)</c:f>
              <c:numCache>
                <c:formatCode>General</c:formatCode>
                <c:ptCount val="2"/>
                <c:pt idx="0">
                  <c:v>6884914.7750000004</c:v>
                </c:pt>
                <c:pt idx="1">
                  <c:v>2419734.4079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85-4046-9E53-73268A074009}"/>
            </c:ext>
          </c:extLst>
        </c:ser>
        <c:ser>
          <c:idx val="7"/>
          <c:order val="7"/>
          <c:tx>
            <c:strRef>
              <c:f>'Total Emissions'!$B$63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Emissions'!$C$63,'Total Emissions'!$AH$63)</c:f>
              <c:numCache>
                <c:formatCode>General</c:formatCode>
                <c:ptCount val="2"/>
                <c:pt idx="0">
                  <c:v>5790901</c:v>
                </c:pt>
                <c:pt idx="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85-4046-9E53-73268A074009}"/>
            </c:ext>
          </c:extLst>
        </c:ser>
        <c:ser>
          <c:idx val="8"/>
          <c:order val="8"/>
          <c:tx>
            <c:strRef>
              <c:f>'Total Emissions'!$B$64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Emissions'!$C$64,'Total Emissions'!$AH$64)</c:f>
              <c:numCache>
                <c:formatCode>General</c:formatCode>
                <c:ptCount val="2"/>
                <c:pt idx="0">
                  <c:v>3801677</c:v>
                </c:pt>
                <c:pt idx="1">
                  <c:v>2765585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85-4046-9E53-73268A074009}"/>
            </c:ext>
          </c:extLst>
        </c:ser>
        <c:ser>
          <c:idx val="9"/>
          <c:order val="9"/>
          <c:tx>
            <c:strRef>
              <c:f>'Total Emissions'!$B$65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Emissions'!$C$65,'Total Emissions'!$AH$65)</c:f>
              <c:numCache>
                <c:formatCode>General</c:formatCode>
                <c:ptCount val="2"/>
                <c:pt idx="0">
                  <c:v>729368.12510000006</c:v>
                </c:pt>
                <c:pt idx="1">
                  <c:v>206178.43859999999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85-4046-9E53-73268A074009}"/>
            </c:ext>
          </c:extLst>
        </c:ser>
        <c:ser>
          <c:idx val="10"/>
          <c:order val="10"/>
          <c:tx>
            <c:strRef>
              <c:f>'Total Emissions'!$B$67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Emissions'!$C$67,'Total Emissions'!$AH$67)</c:f>
              <c:numCache>
                <c:formatCode>General</c:formatCode>
                <c:ptCount val="2"/>
                <c:pt idx="0">
                  <c:v>384783.25699999998</c:v>
                </c:pt>
                <c:pt idx="1">
                  <c:v>171229.82250000001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85-4046-9E53-73268A074009}"/>
            </c:ext>
          </c:extLst>
        </c:ser>
        <c:ser>
          <c:idx val="11"/>
          <c:order val="11"/>
          <c:tx>
            <c:strRef>
              <c:f>'Total Emissions'!$B$58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Emissions'!$C$58,'Total Emissions'!$AH$58)</c:f>
              <c:numCache>
                <c:formatCode>General</c:formatCode>
                <c:ptCount val="2"/>
                <c:pt idx="0">
                  <c:v>221100.7</c:v>
                </c:pt>
                <c:pt idx="1">
                  <c:v>40845.61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85-4046-9E53-73268A074009}"/>
            </c:ext>
          </c:extLst>
        </c:ser>
        <c:ser>
          <c:idx val="12"/>
          <c:order val="12"/>
          <c:tx>
            <c:strRef>
              <c:f>'Total Emissions'!$B$66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Emissions'!$C$66,'Total Emissions'!$AH$66)</c:f>
              <c:numCache>
                <c:formatCode>General</c:formatCode>
                <c:ptCount val="2"/>
                <c:pt idx="0">
                  <c:v>147.99354122</c:v>
                </c:pt>
                <c:pt idx="1">
                  <c:v>465.50964169999997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285-4046-9E53-73268A074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30001"/>
        <c:axId val="50130002"/>
      </c:barChart>
      <c:catAx>
        <c:axId val="501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30002"/>
        <c:crosses val="autoZero"/>
        <c:auto val="1"/>
        <c:lblAlgn val="ctr"/>
        <c:lblOffset val="100"/>
        <c:noMultiLvlLbl val="0"/>
      </c:catAx>
      <c:valAx>
        <c:axId val="501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3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Emissions'!$B$73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Emissions'!$C$73:$AH$73</c:f>
              <c:numCache>
                <c:formatCode>General</c:formatCode>
                <c:ptCount val="32"/>
                <c:pt idx="0">
                  <c:v>24286310</c:v>
                </c:pt>
                <c:pt idx="1">
                  <c:v>24217940</c:v>
                </c:pt>
                <c:pt idx="2">
                  <c:v>23166380</c:v>
                </c:pt>
                <c:pt idx="3">
                  <c:v>21963040</c:v>
                </c:pt>
                <c:pt idx="4">
                  <c:v>20837070</c:v>
                </c:pt>
                <c:pt idx="5">
                  <c:v>19453880</c:v>
                </c:pt>
                <c:pt idx="6">
                  <c:v>17345270</c:v>
                </c:pt>
                <c:pt idx="7">
                  <c:v>15824550</c:v>
                </c:pt>
                <c:pt idx="8">
                  <c:v>14200710</c:v>
                </c:pt>
                <c:pt idx="9">
                  <c:v>12547850</c:v>
                </c:pt>
                <c:pt idx="10">
                  <c:v>10970820</c:v>
                </c:pt>
                <c:pt idx="11">
                  <c:v>9602140</c:v>
                </c:pt>
                <c:pt idx="12">
                  <c:v>8439760</c:v>
                </c:pt>
                <c:pt idx="13">
                  <c:v>7435527</c:v>
                </c:pt>
                <c:pt idx="14">
                  <c:v>6526361</c:v>
                </c:pt>
                <c:pt idx="15">
                  <c:v>5532054</c:v>
                </c:pt>
                <c:pt idx="16">
                  <c:v>4700137</c:v>
                </c:pt>
                <c:pt idx="17">
                  <c:v>4104683</c:v>
                </c:pt>
                <c:pt idx="18">
                  <c:v>3513066</c:v>
                </c:pt>
                <c:pt idx="19">
                  <c:v>2955847</c:v>
                </c:pt>
                <c:pt idx="20">
                  <c:v>2488009</c:v>
                </c:pt>
                <c:pt idx="21">
                  <c:v>2071096</c:v>
                </c:pt>
                <c:pt idx="22">
                  <c:v>1698902</c:v>
                </c:pt>
                <c:pt idx="23">
                  <c:v>1360282</c:v>
                </c:pt>
                <c:pt idx="24">
                  <c:v>1064796</c:v>
                </c:pt>
                <c:pt idx="25">
                  <c:v>814465.2</c:v>
                </c:pt>
                <c:pt idx="26">
                  <c:v>606112.19999999995</c:v>
                </c:pt>
                <c:pt idx="27">
                  <c:v>435967.4</c:v>
                </c:pt>
                <c:pt idx="28">
                  <c:v>300082.7</c:v>
                </c:pt>
                <c:pt idx="29">
                  <c:v>193213.5</c:v>
                </c:pt>
                <c:pt idx="30">
                  <c:v>109065.8</c:v>
                </c:pt>
                <c:pt idx="31">
                  <c:v>40572.46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7-4B4A-BF04-1D8829E681E0}"/>
            </c:ext>
          </c:extLst>
        </c:ser>
        <c:ser>
          <c:idx val="1"/>
          <c:order val="1"/>
          <c:tx>
            <c:strRef>
              <c:f>'Total Emissions'!$B$76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Emissions'!$C$76:$AH$76</c:f>
              <c:numCache>
                <c:formatCode>General</c:formatCode>
                <c:ptCount val="32"/>
                <c:pt idx="0">
                  <c:v>21637454.120000001</c:v>
                </c:pt>
                <c:pt idx="1">
                  <c:v>21641620.859999999</c:v>
                </c:pt>
                <c:pt idx="2">
                  <c:v>21699280.300000001</c:v>
                </c:pt>
                <c:pt idx="3">
                  <c:v>21733022.100000001</c:v>
                </c:pt>
                <c:pt idx="4">
                  <c:v>21494915.300000001</c:v>
                </c:pt>
                <c:pt idx="5">
                  <c:v>20852217.100000001</c:v>
                </c:pt>
                <c:pt idx="6">
                  <c:v>20222227.399999999</c:v>
                </c:pt>
                <c:pt idx="7">
                  <c:v>19333065.800000001</c:v>
                </c:pt>
                <c:pt idx="8">
                  <c:v>18436314</c:v>
                </c:pt>
                <c:pt idx="9">
                  <c:v>17525771.100000001</c:v>
                </c:pt>
                <c:pt idx="10">
                  <c:v>16482003.699999999</c:v>
                </c:pt>
                <c:pt idx="11">
                  <c:v>10745102.5</c:v>
                </c:pt>
                <c:pt idx="12">
                  <c:v>9514498.8000000007</c:v>
                </c:pt>
                <c:pt idx="13">
                  <c:v>8308667.2000000002</c:v>
                </c:pt>
                <c:pt idx="14">
                  <c:v>7143353.4000000004</c:v>
                </c:pt>
                <c:pt idx="15">
                  <c:v>5999235.7999999998</c:v>
                </c:pt>
                <c:pt idx="16">
                  <c:v>5010608</c:v>
                </c:pt>
                <c:pt idx="17">
                  <c:v>4418637.2</c:v>
                </c:pt>
                <c:pt idx="18">
                  <c:v>3861675.1</c:v>
                </c:pt>
                <c:pt idx="19">
                  <c:v>3334586.65</c:v>
                </c:pt>
                <c:pt idx="20">
                  <c:v>2811848.17</c:v>
                </c:pt>
                <c:pt idx="21">
                  <c:v>2357182.86</c:v>
                </c:pt>
                <c:pt idx="22">
                  <c:v>2174145.4</c:v>
                </c:pt>
                <c:pt idx="23">
                  <c:v>2008116.79</c:v>
                </c:pt>
                <c:pt idx="24">
                  <c:v>1854218.01</c:v>
                </c:pt>
                <c:pt idx="25">
                  <c:v>1701820.03</c:v>
                </c:pt>
                <c:pt idx="26">
                  <c:v>416541.77399999998</c:v>
                </c:pt>
                <c:pt idx="27">
                  <c:v>306118.69699999999</c:v>
                </c:pt>
                <c:pt idx="28">
                  <c:v>199631.16099999999</c:v>
                </c:pt>
                <c:pt idx="29">
                  <c:v>110693.511255893</c:v>
                </c:pt>
                <c:pt idx="30">
                  <c:v>60066.208073192</c:v>
                </c:pt>
                <c:pt idx="31">
                  <c:v>8720.8389266960003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7-4B4A-BF04-1D8829E681E0}"/>
            </c:ext>
          </c:extLst>
        </c:ser>
        <c:ser>
          <c:idx val="2"/>
          <c:order val="2"/>
          <c:tx>
            <c:strRef>
              <c:f>'Total Emissions'!$B$70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Emissions'!$C$70:$AH$70</c:f>
              <c:numCache>
                <c:formatCode>General</c:formatCode>
                <c:ptCount val="32"/>
                <c:pt idx="0">
                  <c:v>16213790</c:v>
                </c:pt>
                <c:pt idx="1">
                  <c:v>15531020</c:v>
                </c:pt>
                <c:pt idx="2">
                  <c:v>14818260</c:v>
                </c:pt>
                <c:pt idx="3">
                  <c:v>14088080</c:v>
                </c:pt>
                <c:pt idx="4">
                  <c:v>13373050</c:v>
                </c:pt>
                <c:pt idx="5">
                  <c:v>12528840</c:v>
                </c:pt>
                <c:pt idx="6">
                  <c:v>11750050</c:v>
                </c:pt>
                <c:pt idx="7">
                  <c:v>10923790</c:v>
                </c:pt>
                <c:pt idx="8">
                  <c:v>10137830</c:v>
                </c:pt>
                <c:pt idx="9">
                  <c:v>9372473</c:v>
                </c:pt>
                <c:pt idx="10">
                  <c:v>8628280</c:v>
                </c:pt>
                <c:pt idx="11">
                  <c:v>7917861</c:v>
                </c:pt>
                <c:pt idx="12">
                  <c:v>7235565</c:v>
                </c:pt>
                <c:pt idx="13">
                  <c:v>6584524</c:v>
                </c:pt>
                <c:pt idx="14">
                  <c:v>5951586</c:v>
                </c:pt>
                <c:pt idx="15">
                  <c:v>5324069</c:v>
                </c:pt>
                <c:pt idx="16">
                  <c:v>4732364</c:v>
                </c:pt>
                <c:pt idx="17">
                  <c:v>4407526</c:v>
                </c:pt>
                <c:pt idx="18">
                  <c:v>4088349</c:v>
                </c:pt>
                <c:pt idx="19">
                  <c:v>3778517</c:v>
                </c:pt>
                <c:pt idx="20">
                  <c:v>3529889</c:v>
                </c:pt>
                <c:pt idx="21">
                  <c:v>3287976</c:v>
                </c:pt>
                <c:pt idx="22">
                  <c:v>3185261</c:v>
                </c:pt>
                <c:pt idx="23">
                  <c:v>3087191</c:v>
                </c:pt>
                <c:pt idx="24">
                  <c:v>2994913</c:v>
                </c:pt>
                <c:pt idx="25">
                  <c:v>2908654</c:v>
                </c:pt>
                <c:pt idx="26">
                  <c:v>2827994</c:v>
                </c:pt>
                <c:pt idx="27">
                  <c:v>2752521</c:v>
                </c:pt>
                <c:pt idx="28">
                  <c:v>2681629</c:v>
                </c:pt>
                <c:pt idx="29">
                  <c:v>2614683</c:v>
                </c:pt>
                <c:pt idx="30">
                  <c:v>2550914</c:v>
                </c:pt>
                <c:pt idx="31">
                  <c:v>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37-4B4A-BF04-1D8829E681E0}"/>
            </c:ext>
          </c:extLst>
        </c:ser>
        <c:ser>
          <c:idx val="3"/>
          <c:order val="3"/>
          <c:tx>
            <c:strRef>
              <c:f>'Total Emissions'!$B$74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Emissions'!$C$74:$AH$74</c:f>
              <c:numCache>
                <c:formatCode>General</c:formatCode>
                <c:ptCount val="32"/>
                <c:pt idx="0">
                  <c:v>9786438.5133999996</c:v>
                </c:pt>
                <c:pt idx="1">
                  <c:v>9728744.0730000008</c:v>
                </c:pt>
                <c:pt idx="2">
                  <c:v>9804489.1209999993</c:v>
                </c:pt>
                <c:pt idx="3">
                  <c:v>10159357.706</c:v>
                </c:pt>
                <c:pt idx="4">
                  <c:v>10385718.675000001</c:v>
                </c:pt>
                <c:pt idx="5">
                  <c:v>10561719.35</c:v>
                </c:pt>
                <c:pt idx="6">
                  <c:v>3376642.952</c:v>
                </c:pt>
                <c:pt idx="7">
                  <c:v>3166515.946</c:v>
                </c:pt>
                <c:pt idx="8">
                  <c:v>2916370.1239999998</c:v>
                </c:pt>
                <c:pt idx="9">
                  <c:v>2623506.6</c:v>
                </c:pt>
                <c:pt idx="10">
                  <c:v>2280918.2710000002</c:v>
                </c:pt>
                <c:pt idx="11">
                  <c:v>1962586.166</c:v>
                </c:pt>
                <c:pt idx="12">
                  <c:v>1936647.4639999999</c:v>
                </c:pt>
                <c:pt idx="13">
                  <c:v>1894120.1440000001</c:v>
                </c:pt>
                <c:pt idx="14">
                  <c:v>1838206.95</c:v>
                </c:pt>
                <c:pt idx="15">
                  <c:v>1771397.85</c:v>
                </c:pt>
                <c:pt idx="16">
                  <c:v>1702360.73</c:v>
                </c:pt>
                <c:pt idx="17">
                  <c:v>1587121.32</c:v>
                </c:pt>
                <c:pt idx="18">
                  <c:v>1474382.1</c:v>
                </c:pt>
                <c:pt idx="19">
                  <c:v>1363334.38</c:v>
                </c:pt>
                <c:pt idx="20">
                  <c:v>1254324.27</c:v>
                </c:pt>
                <c:pt idx="21">
                  <c:v>1151481.06</c:v>
                </c:pt>
                <c:pt idx="22">
                  <c:v>1078924.1499999999</c:v>
                </c:pt>
                <c:pt idx="23">
                  <c:v>1004013.559</c:v>
                </c:pt>
                <c:pt idx="24">
                  <c:v>925115.11700000009</c:v>
                </c:pt>
                <c:pt idx="25">
                  <c:v>842362.43599999999</c:v>
                </c:pt>
                <c:pt idx="26">
                  <c:v>754749.22600000002</c:v>
                </c:pt>
                <c:pt idx="27">
                  <c:v>754749.33</c:v>
                </c:pt>
                <c:pt idx="28">
                  <c:v>754749.43700000003</c:v>
                </c:pt>
                <c:pt idx="29">
                  <c:v>754749.64899999998</c:v>
                </c:pt>
                <c:pt idx="30">
                  <c:v>754749.55299999996</c:v>
                </c:pt>
                <c:pt idx="31">
                  <c:v>754749.75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37-4B4A-BF04-1D8829E681E0}"/>
            </c:ext>
          </c:extLst>
        </c:ser>
        <c:ser>
          <c:idx val="4"/>
          <c:order val="4"/>
          <c:tx>
            <c:strRef>
              <c:f>'Total Emissions'!$B$69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Emissions'!$C$69:$AH$69</c:f>
              <c:numCache>
                <c:formatCode>General</c:formatCode>
                <c:ptCount val="32"/>
                <c:pt idx="0">
                  <c:v>8510024.0999999996</c:v>
                </c:pt>
                <c:pt idx="1">
                  <c:v>8510023.0999999996</c:v>
                </c:pt>
                <c:pt idx="2">
                  <c:v>8510006.1999999993</c:v>
                </c:pt>
                <c:pt idx="3">
                  <c:v>8509989.1999999993</c:v>
                </c:pt>
                <c:pt idx="4">
                  <c:v>8503640.3000000007</c:v>
                </c:pt>
                <c:pt idx="5">
                  <c:v>8497291.4000000004</c:v>
                </c:pt>
                <c:pt idx="6">
                  <c:v>454601.7</c:v>
                </c:pt>
                <c:pt idx="7">
                  <c:v>443739.3</c:v>
                </c:pt>
                <c:pt idx="8">
                  <c:v>433196.6</c:v>
                </c:pt>
                <c:pt idx="9">
                  <c:v>422959.9</c:v>
                </c:pt>
                <c:pt idx="10">
                  <c:v>413015.8</c:v>
                </c:pt>
                <c:pt idx="11">
                  <c:v>403352.3</c:v>
                </c:pt>
                <c:pt idx="12">
                  <c:v>387535.5</c:v>
                </c:pt>
                <c:pt idx="13">
                  <c:v>372144.8</c:v>
                </c:pt>
                <c:pt idx="14">
                  <c:v>357162.8</c:v>
                </c:pt>
                <c:pt idx="15">
                  <c:v>342573.3</c:v>
                </c:pt>
                <c:pt idx="16">
                  <c:v>328360.59999999998</c:v>
                </c:pt>
                <c:pt idx="17">
                  <c:v>319345.7</c:v>
                </c:pt>
                <c:pt idx="18">
                  <c:v>310553.5</c:v>
                </c:pt>
                <c:pt idx="19">
                  <c:v>301975.40000000002</c:v>
                </c:pt>
                <c:pt idx="20">
                  <c:v>293603.5</c:v>
                </c:pt>
                <c:pt idx="21">
                  <c:v>285430.09999999998</c:v>
                </c:pt>
                <c:pt idx="22">
                  <c:v>277391.40000000002</c:v>
                </c:pt>
                <c:pt idx="23">
                  <c:v>269543.5</c:v>
                </c:pt>
                <c:pt idx="24">
                  <c:v>261879.6</c:v>
                </c:pt>
                <c:pt idx="25">
                  <c:v>254393.2</c:v>
                </c:pt>
                <c:pt idx="26">
                  <c:v>247078.1</c:v>
                </c:pt>
                <c:pt idx="27">
                  <c:v>239898.3</c:v>
                </c:pt>
                <c:pt idx="28">
                  <c:v>232882.5</c:v>
                </c:pt>
                <c:pt idx="29">
                  <c:v>226025.1</c:v>
                </c:pt>
                <c:pt idx="30">
                  <c:v>219320.8</c:v>
                </c:pt>
                <c:pt idx="31">
                  <c:v>212764.7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37-4B4A-BF04-1D8829E681E0}"/>
            </c:ext>
          </c:extLst>
        </c:ser>
        <c:ser>
          <c:idx val="5"/>
          <c:order val="5"/>
          <c:tx>
            <c:strRef>
              <c:f>'Total Emissions'!$B$75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Emissions'!$C$75:$AH$75</c:f>
              <c:numCache>
                <c:formatCode>General</c:formatCode>
                <c:ptCount val="32"/>
                <c:pt idx="0">
                  <c:v>7872484</c:v>
                </c:pt>
                <c:pt idx="1">
                  <c:v>7872484</c:v>
                </c:pt>
                <c:pt idx="2">
                  <c:v>7785012</c:v>
                </c:pt>
                <c:pt idx="3">
                  <c:v>7697540</c:v>
                </c:pt>
                <c:pt idx="4">
                  <c:v>7610068</c:v>
                </c:pt>
                <c:pt idx="5">
                  <c:v>7522596</c:v>
                </c:pt>
                <c:pt idx="6">
                  <c:v>7435124</c:v>
                </c:pt>
                <c:pt idx="7">
                  <c:v>7347652</c:v>
                </c:pt>
                <c:pt idx="8">
                  <c:v>7260180</c:v>
                </c:pt>
                <c:pt idx="9">
                  <c:v>7172708</c:v>
                </c:pt>
                <c:pt idx="10">
                  <c:v>7085236</c:v>
                </c:pt>
                <c:pt idx="11">
                  <c:v>6997764</c:v>
                </c:pt>
                <c:pt idx="12">
                  <c:v>6910292</c:v>
                </c:pt>
                <c:pt idx="13">
                  <c:v>6822820</c:v>
                </c:pt>
                <c:pt idx="14">
                  <c:v>6735348</c:v>
                </c:pt>
                <c:pt idx="15">
                  <c:v>6647876</c:v>
                </c:pt>
                <c:pt idx="16">
                  <c:v>6560404</c:v>
                </c:pt>
                <c:pt idx="17">
                  <c:v>6472932</c:v>
                </c:pt>
                <c:pt idx="18">
                  <c:v>6385459</c:v>
                </c:pt>
                <c:pt idx="19">
                  <c:v>6297988</c:v>
                </c:pt>
                <c:pt idx="20">
                  <c:v>6297988</c:v>
                </c:pt>
                <c:pt idx="21">
                  <c:v>6297988</c:v>
                </c:pt>
                <c:pt idx="22">
                  <c:v>6297988</c:v>
                </c:pt>
                <c:pt idx="23">
                  <c:v>6297988</c:v>
                </c:pt>
                <c:pt idx="24">
                  <c:v>6297988</c:v>
                </c:pt>
                <c:pt idx="25">
                  <c:v>6297988</c:v>
                </c:pt>
                <c:pt idx="26">
                  <c:v>6297988</c:v>
                </c:pt>
                <c:pt idx="27">
                  <c:v>6297988</c:v>
                </c:pt>
                <c:pt idx="28">
                  <c:v>6297988</c:v>
                </c:pt>
                <c:pt idx="29">
                  <c:v>6297988</c:v>
                </c:pt>
                <c:pt idx="30">
                  <c:v>6297988</c:v>
                </c:pt>
                <c:pt idx="31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37-4B4A-BF04-1D8829E681E0}"/>
            </c:ext>
          </c:extLst>
        </c:ser>
        <c:ser>
          <c:idx val="6"/>
          <c:order val="6"/>
          <c:tx>
            <c:strRef>
              <c:f>'Total Emissions'!$B$71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Emissions'!$C$71:$AH$71</c:f>
              <c:numCache>
                <c:formatCode>General</c:formatCode>
                <c:ptCount val="32"/>
                <c:pt idx="0">
                  <c:v>6884914.7750000004</c:v>
                </c:pt>
                <c:pt idx="1">
                  <c:v>6883513.2640000004</c:v>
                </c:pt>
                <c:pt idx="2">
                  <c:v>6878768.4979999997</c:v>
                </c:pt>
                <c:pt idx="3">
                  <c:v>6874016.54</c:v>
                </c:pt>
                <c:pt idx="4">
                  <c:v>6750917.9500000002</c:v>
                </c:pt>
                <c:pt idx="5">
                  <c:v>6624767.2249999996</c:v>
                </c:pt>
                <c:pt idx="6">
                  <c:v>6407364.3940000003</c:v>
                </c:pt>
                <c:pt idx="7">
                  <c:v>6197603.6409999998</c:v>
                </c:pt>
                <c:pt idx="8">
                  <c:v>5991499.9129999997</c:v>
                </c:pt>
                <c:pt idx="9">
                  <c:v>5788085.5870000003</c:v>
                </c:pt>
                <c:pt idx="10">
                  <c:v>5586417.8130000001</c:v>
                </c:pt>
                <c:pt idx="11">
                  <c:v>5379797.2960000001</c:v>
                </c:pt>
                <c:pt idx="12">
                  <c:v>5065632.3219999997</c:v>
                </c:pt>
                <c:pt idx="13">
                  <c:v>4758590.6370000001</c:v>
                </c:pt>
                <c:pt idx="14">
                  <c:v>4460156.0290000001</c:v>
                </c:pt>
                <c:pt idx="15">
                  <c:v>4171082.0180000002</c:v>
                </c:pt>
                <c:pt idx="16">
                  <c:v>3891619.1579999998</c:v>
                </c:pt>
                <c:pt idx="17">
                  <c:v>3712535.7030000002</c:v>
                </c:pt>
                <c:pt idx="18">
                  <c:v>3540375.9360000002</c:v>
                </c:pt>
                <c:pt idx="19">
                  <c:v>3374780.4109999998</c:v>
                </c:pt>
                <c:pt idx="20">
                  <c:v>3215256.747</c:v>
                </c:pt>
                <c:pt idx="21">
                  <c:v>3061107.196</c:v>
                </c:pt>
                <c:pt idx="22">
                  <c:v>2909515.8849999998</c:v>
                </c:pt>
                <c:pt idx="23">
                  <c:v>2762587.85</c:v>
                </c:pt>
                <c:pt idx="24">
                  <c:v>2619961.3840000001</c:v>
                </c:pt>
                <c:pt idx="25">
                  <c:v>2481285.1880000001</c:v>
                </c:pt>
                <c:pt idx="26">
                  <c:v>2344754.0430000001</c:v>
                </c:pt>
                <c:pt idx="27">
                  <c:v>2211425.77</c:v>
                </c:pt>
                <c:pt idx="28">
                  <c:v>2081230.4349</c:v>
                </c:pt>
                <c:pt idx="29">
                  <c:v>1953952.2641</c:v>
                </c:pt>
                <c:pt idx="30">
                  <c:v>1829438.7712999999</c:v>
                </c:pt>
                <c:pt idx="31">
                  <c:v>1707576.2365000001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7-4B4A-BF04-1D8829E681E0}"/>
            </c:ext>
          </c:extLst>
        </c:ser>
        <c:ser>
          <c:idx val="7"/>
          <c:order val="7"/>
          <c:tx>
            <c:strRef>
              <c:f>'Total Emissions'!$B$77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Emissions'!$C$77:$AH$77</c:f>
              <c:numCache>
                <c:formatCode>General</c:formatCode>
                <c:ptCount val="32"/>
                <c:pt idx="0">
                  <c:v>5790901</c:v>
                </c:pt>
                <c:pt idx="1">
                  <c:v>5790901</c:v>
                </c:pt>
                <c:pt idx="2">
                  <c:v>5790901</c:v>
                </c:pt>
                <c:pt idx="3">
                  <c:v>5790901</c:v>
                </c:pt>
                <c:pt idx="4">
                  <c:v>5790901</c:v>
                </c:pt>
                <c:pt idx="5">
                  <c:v>5790901</c:v>
                </c:pt>
                <c:pt idx="6">
                  <c:v>5790901</c:v>
                </c:pt>
                <c:pt idx="7">
                  <c:v>5790901</c:v>
                </c:pt>
                <c:pt idx="8">
                  <c:v>5790901</c:v>
                </c:pt>
                <c:pt idx="9">
                  <c:v>5790901</c:v>
                </c:pt>
                <c:pt idx="10">
                  <c:v>5790901</c:v>
                </c:pt>
                <c:pt idx="11">
                  <c:v>5790901</c:v>
                </c:pt>
                <c:pt idx="12">
                  <c:v>5790901</c:v>
                </c:pt>
                <c:pt idx="13">
                  <c:v>5790901</c:v>
                </c:pt>
                <c:pt idx="14">
                  <c:v>5790901</c:v>
                </c:pt>
                <c:pt idx="15">
                  <c:v>5790901</c:v>
                </c:pt>
                <c:pt idx="16">
                  <c:v>5790901</c:v>
                </c:pt>
                <c:pt idx="17">
                  <c:v>5790901</c:v>
                </c:pt>
                <c:pt idx="18">
                  <c:v>5790901</c:v>
                </c:pt>
                <c:pt idx="19">
                  <c:v>5790901</c:v>
                </c:pt>
                <c:pt idx="20">
                  <c:v>5790901</c:v>
                </c:pt>
                <c:pt idx="21">
                  <c:v>5790901</c:v>
                </c:pt>
                <c:pt idx="22">
                  <c:v>5790901</c:v>
                </c:pt>
                <c:pt idx="23">
                  <c:v>5790901</c:v>
                </c:pt>
                <c:pt idx="24">
                  <c:v>5790901</c:v>
                </c:pt>
                <c:pt idx="25">
                  <c:v>5790901</c:v>
                </c:pt>
                <c:pt idx="26">
                  <c:v>5790901</c:v>
                </c:pt>
                <c:pt idx="27">
                  <c:v>5790901</c:v>
                </c:pt>
                <c:pt idx="28">
                  <c:v>5790901</c:v>
                </c:pt>
                <c:pt idx="29">
                  <c:v>5790901</c:v>
                </c:pt>
                <c:pt idx="30">
                  <c:v>5790901</c:v>
                </c:pt>
                <c:pt idx="3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37-4B4A-BF04-1D8829E681E0}"/>
            </c:ext>
          </c:extLst>
        </c:ser>
        <c:ser>
          <c:idx val="8"/>
          <c:order val="8"/>
          <c:tx>
            <c:strRef>
              <c:f>'Total Emissions'!$B$78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Emissions'!$C$78:$AH$78</c:f>
              <c:numCache>
                <c:formatCode>General</c:formatCode>
                <c:ptCount val="32"/>
                <c:pt idx="0">
                  <c:v>3801677</c:v>
                </c:pt>
                <c:pt idx="1">
                  <c:v>3801677</c:v>
                </c:pt>
                <c:pt idx="2">
                  <c:v>3801677</c:v>
                </c:pt>
                <c:pt idx="3">
                  <c:v>3801677</c:v>
                </c:pt>
                <c:pt idx="4">
                  <c:v>3801677</c:v>
                </c:pt>
                <c:pt idx="5">
                  <c:v>3801677</c:v>
                </c:pt>
                <c:pt idx="6">
                  <c:v>3746733</c:v>
                </c:pt>
                <c:pt idx="7">
                  <c:v>3693429</c:v>
                </c:pt>
                <c:pt idx="8">
                  <c:v>3641692</c:v>
                </c:pt>
                <c:pt idx="9">
                  <c:v>3591456</c:v>
                </c:pt>
                <c:pt idx="10">
                  <c:v>3542654</c:v>
                </c:pt>
                <c:pt idx="11">
                  <c:v>3495228</c:v>
                </c:pt>
                <c:pt idx="12">
                  <c:v>3449118</c:v>
                </c:pt>
                <c:pt idx="13">
                  <c:v>3404272</c:v>
                </c:pt>
                <c:pt idx="14">
                  <c:v>3360638</c:v>
                </c:pt>
                <c:pt idx="15">
                  <c:v>3318167</c:v>
                </c:pt>
                <c:pt idx="16">
                  <c:v>3276815</c:v>
                </c:pt>
                <c:pt idx="17">
                  <c:v>3236536</c:v>
                </c:pt>
                <c:pt idx="18">
                  <c:v>3197290</c:v>
                </c:pt>
                <c:pt idx="19">
                  <c:v>3159037</c:v>
                </c:pt>
                <c:pt idx="20">
                  <c:v>3121741</c:v>
                </c:pt>
                <c:pt idx="21">
                  <c:v>3085367</c:v>
                </c:pt>
                <c:pt idx="22">
                  <c:v>3049879</c:v>
                </c:pt>
                <c:pt idx="23">
                  <c:v>3015246</c:v>
                </c:pt>
                <c:pt idx="24">
                  <c:v>2981437</c:v>
                </c:pt>
                <c:pt idx="25">
                  <c:v>2948425</c:v>
                </c:pt>
                <c:pt idx="26">
                  <c:v>2916180</c:v>
                </c:pt>
                <c:pt idx="27">
                  <c:v>2884676</c:v>
                </c:pt>
                <c:pt idx="28">
                  <c:v>2853888</c:v>
                </c:pt>
                <c:pt idx="29">
                  <c:v>2823793</c:v>
                </c:pt>
                <c:pt idx="30">
                  <c:v>2794365</c:v>
                </c:pt>
                <c:pt idx="31">
                  <c:v>2765585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37-4B4A-BF04-1D8829E681E0}"/>
            </c:ext>
          </c:extLst>
        </c:ser>
        <c:ser>
          <c:idx val="9"/>
          <c:order val="9"/>
          <c:tx>
            <c:strRef>
              <c:f>'Total Emissions'!$B$79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Emissions'!$C$79:$AH$79</c:f>
              <c:numCache>
                <c:formatCode>General</c:formatCode>
                <c:ptCount val="32"/>
                <c:pt idx="0">
                  <c:v>729368.12510000006</c:v>
                </c:pt>
                <c:pt idx="1">
                  <c:v>728736.72509999992</c:v>
                </c:pt>
                <c:pt idx="2">
                  <c:v>726780.01119999995</c:v>
                </c:pt>
                <c:pt idx="3">
                  <c:v>723936.79739999992</c:v>
                </c:pt>
                <c:pt idx="4">
                  <c:v>714457.10759999999</c:v>
                </c:pt>
                <c:pt idx="5">
                  <c:v>697287.91769999999</c:v>
                </c:pt>
                <c:pt idx="6">
                  <c:v>677550.56759999995</c:v>
                </c:pt>
                <c:pt idx="7">
                  <c:v>653304.29070000001</c:v>
                </c:pt>
                <c:pt idx="8">
                  <c:v>627583.67480000004</c:v>
                </c:pt>
                <c:pt idx="9">
                  <c:v>599897.50870000001</c:v>
                </c:pt>
                <c:pt idx="10">
                  <c:v>567935.48160000006</c:v>
                </c:pt>
                <c:pt idx="11">
                  <c:v>535468.58350000007</c:v>
                </c:pt>
                <c:pt idx="12">
                  <c:v>495982.58799999999</c:v>
                </c:pt>
                <c:pt idx="13">
                  <c:v>457000.7487</c:v>
                </c:pt>
                <c:pt idx="14">
                  <c:v>419497.02100000001</c:v>
                </c:pt>
                <c:pt idx="15">
                  <c:v>383726.68109999999</c:v>
                </c:pt>
                <c:pt idx="16">
                  <c:v>352579.4963</c:v>
                </c:pt>
                <c:pt idx="17">
                  <c:v>327423.37109999999</c:v>
                </c:pt>
                <c:pt idx="18">
                  <c:v>304723.10700000002</c:v>
                </c:pt>
                <c:pt idx="19">
                  <c:v>284175.99680000002</c:v>
                </c:pt>
                <c:pt idx="20">
                  <c:v>265211.22360000003</c:v>
                </c:pt>
                <c:pt idx="21">
                  <c:v>247908.10079999999</c:v>
                </c:pt>
                <c:pt idx="22">
                  <c:v>237726.17129999999</c:v>
                </c:pt>
                <c:pt idx="23">
                  <c:v>229028.8811</c:v>
                </c:pt>
                <c:pt idx="24">
                  <c:v>221671.60639999999</c:v>
                </c:pt>
                <c:pt idx="25">
                  <c:v>215282.9981</c:v>
                </c:pt>
                <c:pt idx="26">
                  <c:v>209678.0778</c:v>
                </c:pt>
                <c:pt idx="27">
                  <c:v>204250.08470000001</c:v>
                </c:pt>
                <c:pt idx="28">
                  <c:v>199068.12479999999</c:v>
                </c:pt>
                <c:pt idx="29">
                  <c:v>194065.2157</c:v>
                </c:pt>
                <c:pt idx="30">
                  <c:v>189091.96489999999</c:v>
                </c:pt>
                <c:pt idx="31">
                  <c:v>184475.91810000001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37-4B4A-BF04-1D8829E681E0}"/>
            </c:ext>
          </c:extLst>
        </c:ser>
        <c:ser>
          <c:idx val="10"/>
          <c:order val="10"/>
          <c:tx>
            <c:strRef>
              <c:f>'Total Emissions'!$B$81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Emissions'!$C$81:$AH$81</c:f>
              <c:numCache>
                <c:formatCode>General</c:formatCode>
                <c:ptCount val="32"/>
                <c:pt idx="0">
                  <c:v>384783.25699999998</c:v>
                </c:pt>
                <c:pt idx="1">
                  <c:v>384263.35700000002</c:v>
                </c:pt>
                <c:pt idx="2">
                  <c:v>381739.75699999998</c:v>
                </c:pt>
                <c:pt idx="3">
                  <c:v>378375.65700000001</c:v>
                </c:pt>
                <c:pt idx="4">
                  <c:v>373053.75699999998</c:v>
                </c:pt>
                <c:pt idx="5">
                  <c:v>366243.05699999997</c:v>
                </c:pt>
                <c:pt idx="6">
                  <c:v>356067.45700000011</c:v>
                </c:pt>
                <c:pt idx="7">
                  <c:v>345301.05699999997</c:v>
                </c:pt>
                <c:pt idx="8">
                  <c:v>333871.75699999998</c:v>
                </c:pt>
                <c:pt idx="9">
                  <c:v>321353.15700000001</c:v>
                </c:pt>
                <c:pt idx="10">
                  <c:v>307302.35700000002</c:v>
                </c:pt>
                <c:pt idx="11">
                  <c:v>291537.74699999997</c:v>
                </c:pt>
                <c:pt idx="12">
                  <c:v>275292.36700000003</c:v>
                </c:pt>
                <c:pt idx="13">
                  <c:v>259286.07699999999</c:v>
                </c:pt>
                <c:pt idx="14">
                  <c:v>244191.88699999999</c:v>
                </c:pt>
                <c:pt idx="15">
                  <c:v>230527.677</c:v>
                </c:pt>
                <c:pt idx="16">
                  <c:v>218626.587</c:v>
                </c:pt>
                <c:pt idx="17">
                  <c:v>208706.65700000001</c:v>
                </c:pt>
                <c:pt idx="18">
                  <c:v>200711.057</c:v>
                </c:pt>
                <c:pt idx="19">
                  <c:v>194467.29699999999</c:v>
                </c:pt>
                <c:pt idx="20">
                  <c:v>189710.51199999999</c:v>
                </c:pt>
                <c:pt idx="21">
                  <c:v>186099.49100000001</c:v>
                </c:pt>
                <c:pt idx="22">
                  <c:v>183517.03899999999</c:v>
                </c:pt>
                <c:pt idx="23">
                  <c:v>181460.27499999999</c:v>
                </c:pt>
                <c:pt idx="24">
                  <c:v>179744.174</c:v>
                </c:pt>
                <c:pt idx="25">
                  <c:v>178265.943</c:v>
                </c:pt>
                <c:pt idx="26">
                  <c:v>176945.4099</c:v>
                </c:pt>
                <c:pt idx="27">
                  <c:v>175680.07180000001</c:v>
                </c:pt>
                <c:pt idx="28">
                  <c:v>174487.90119999999</c:v>
                </c:pt>
                <c:pt idx="29">
                  <c:v>173353.37880000001</c:v>
                </c:pt>
                <c:pt idx="30">
                  <c:v>172268.58379999999</c:v>
                </c:pt>
                <c:pt idx="31">
                  <c:v>171227.94409999999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37-4B4A-BF04-1D8829E681E0}"/>
            </c:ext>
          </c:extLst>
        </c:ser>
        <c:ser>
          <c:idx val="11"/>
          <c:order val="11"/>
          <c:tx>
            <c:strRef>
              <c:f>'Total Emissions'!$B$72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Emissions'!$C$72:$AH$72</c:f>
              <c:numCache>
                <c:formatCode>General</c:formatCode>
                <c:ptCount val="32"/>
                <c:pt idx="0">
                  <c:v>221100.7</c:v>
                </c:pt>
                <c:pt idx="1">
                  <c:v>221117.6</c:v>
                </c:pt>
                <c:pt idx="2">
                  <c:v>221611.4</c:v>
                </c:pt>
                <c:pt idx="3">
                  <c:v>221939.6</c:v>
                </c:pt>
                <c:pt idx="4">
                  <c:v>220510</c:v>
                </c:pt>
                <c:pt idx="5">
                  <c:v>215403.2</c:v>
                </c:pt>
                <c:pt idx="6">
                  <c:v>210438.1</c:v>
                </c:pt>
                <c:pt idx="7">
                  <c:v>204526</c:v>
                </c:pt>
                <c:pt idx="8">
                  <c:v>198559.1</c:v>
                </c:pt>
                <c:pt idx="9">
                  <c:v>192475.2</c:v>
                </c:pt>
                <c:pt idx="10">
                  <c:v>185073.7</c:v>
                </c:pt>
                <c:pt idx="11">
                  <c:v>130011.2</c:v>
                </c:pt>
                <c:pt idx="12">
                  <c:v>121885.4</c:v>
                </c:pt>
                <c:pt idx="13">
                  <c:v>114077</c:v>
                </c:pt>
                <c:pt idx="14">
                  <c:v>106754.8</c:v>
                </c:pt>
                <c:pt idx="15">
                  <c:v>99743.6</c:v>
                </c:pt>
                <c:pt idx="16">
                  <c:v>94352.27</c:v>
                </c:pt>
                <c:pt idx="17">
                  <c:v>90164.82</c:v>
                </c:pt>
                <c:pt idx="18">
                  <c:v>86362.35</c:v>
                </c:pt>
                <c:pt idx="19">
                  <c:v>82894.98</c:v>
                </c:pt>
                <c:pt idx="20">
                  <c:v>79528.56</c:v>
                </c:pt>
                <c:pt idx="21">
                  <c:v>76840.66</c:v>
                </c:pt>
                <c:pt idx="22">
                  <c:v>75202.179999999993</c:v>
                </c:pt>
                <c:pt idx="23">
                  <c:v>73725.25</c:v>
                </c:pt>
                <c:pt idx="24">
                  <c:v>72364.45</c:v>
                </c:pt>
                <c:pt idx="25">
                  <c:v>71025.98</c:v>
                </c:pt>
                <c:pt idx="26">
                  <c:v>58097.120000000003</c:v>
                </c:pt>
                <c:pt idx="27">
                  <c:v>57131.9</c:v>
                </c:pt>
                <c:pt idx="28">
                  <c:v>56204.66</c:v>
                </c:pt>
                <c:pt idx="29">
                  <c:v>55303.54</c:v>
                </c:pt>
                <c:pt idx="30">
                  <c:v>54246.71</c:v>
                </c:pt>
                <c:pt idx="31">
                  <c:v>53563.99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37-4B4A-BF04-1D8829E681E0}"/>
            </c:ext>
          </c:extLst>
        </c:ser>
        <c:ser>
          <c:idx val="12"/>
          <c:order val="12"/>
          <c:tx>
            <c:strRef>
              <c:f>'Total Emissions'!$B$80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Emissions'!$C$80:$AH$80</c:f>
              <c:numCache>
                <c:formatCode>General</c:formatCode>
                <c:ptCount val="32"/>
                <c:pt idx="0">
                  <c:v>147.99354122</c:v>
                </c:pt>
                <c:pt idx="1">
                  <c:v>147.99354105</c:v>
                </c:pt>
                <c:pt idx="2">
                  <c:v>827.04334098000004</c:v>
                </c:pt>
                <c:pt idx="3">
                  <c:v>2554.5325415299999</c:v>
                </c:pt>
                <c:pt idx="4">
                  <c:v>5392.0788500000008</c:v>
                </c:pt>
                <c:pt idx="5">
                  <c:v>9221.90985</c:v>
                </c:pt>
                <c:pt idx="6">
                  <c:v>13956.20278</c:v>
                </c:pt>
                <c:pt idx="7">
                  <c:v>19668.908510000001</c:v>
                </c:pt>
                <c:pt idx="8">
                  <c:v>26149.778999999999</c:v>
                </c:pt>
                <c:pt idx="9">
                  <c:v>33405.6734</c:v>
                </c:pt>
                <c:pt idx="10">
                  <c:v>41433.553099999997</c:v>
                </c:pt>
                <c:pt idx="11">
                  <c:v>50245.570899999999</c:v>
                </c:pt>
                <c:pt idx="12">
                  <c:v>59941.566099999996</c:v>
                </c:pt>
                <c:pt idx="13">
                  <c:v>70437.575199999992</c:v>
                </c:pt>
                <c:pt idx="14">
                  <c:v>81738.944400000008</c:v>
                </c:pt>
                <c:pt idx="15">
                  <c:v>93848.317299999995</c:v>
                </c:pt>
                <c:pt idx="16">
                  <c:v>106758.76519999999</c:v>
                </c:pt>
                <c:pt idx="17">
                  <c:v>114321.94319999999</c:v>
                </c:pt>
                <c:pt idx="18">
                  <c:v>122033.9954</c:v>
                </c:pt>
                <c:pt idx="19">
                  <c:v>129897.7599</c:v>
                </c:pt>
                <c:pt idx="20">
                  <c:v>137898.54010000001</c:v>
                </c:pt>
                <c:pt idx="21">
                  <c:v>146043.72510000001</c:v>
                </c:pt>
                <c:pt idx="22">
                  <c:v>154049.25099999999</c:v>
                </c:pt>
                <c:pt idx="23">
                  <c:v>162179.4357</c:v>
                </c:pt>
                <c:pt idx="24">
                  <c:v>170428.60620000001</c:v>
                </c:pt>
                <c:pt idx="25">
                  <c:v>178790.10159999999</c:v>
                </c:pt>
                <c:pt idx="26">
                  <c:v>187244.70850000001</c:v>
                </c:pt>
                <c:pt idx="27">
                  <c:v>195865.66889999999</c:v>
                </c:pt>
                <c:pt idx="28">
                  <c:v>204580.39660000001</c:v>
                </c:pt>
                <c:pt idx="29">
                  <c:v>213366.37239999999</c:v>
                </c:pt>
                <c:pt idx="30">
                  <c:v>222173.79990000001</c:v>
                </c:pt>
                <c:pt idx="31">
                  <c:v>231109.5955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37-4B4A-BF04-1D8829E68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40001"/>
        <c:axId val="50140002"/>
      </c:areaChart>
      <c:catAx>
        <c:axId val="501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40002"/>
        <c:crosses val="autoZero"/>
        <c:auto val="1"/>
        <c:lblAlgn val="ctr"/>
        <c:lblOffset val="100"/>
        <c:tickLblSkip val="2"/>
        <c:noMultiLvlLbl val="0"/>
      </c:catAx>
      <c:valAx>
        <c:axId val="501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4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Emissions'!$B$73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Emissions'!$C$73,'Total Emissions'!$AH$73)</c:f>
              <c:numCache>
                <c:formatCode>General</c:formatCode>
                <c:ptCount val="2"/>
                <c:pt idx="0">
                  <c:v>24286310</c:v>
                </c:pt>
                <c:pt idx="1">
                  <c:v>40572.46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0-479E-92FE-ABE5B7E422B5}"/>
            </c:ext>
          </c:extLst>
        </c:ser>
        <c:ser>
          <c:idx val="1"/>
          <c:order val="1"/>
          <c:tx>
            <c:strRef>
              <c:f>'Total Emissions'!$B$76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Emissions'!$C$76,'Total Emissions'!$AH$76)</c:f>
              <c:numCache>
                <c:formatCode>General</c:formatCode>
                <c:ptCount val="2"/>
                <c:pt idx="0">
                  <c:v>21637454.120000001</c:v>
                </c:pt>
                <c:pt idx="1">
                  <c:v>8720.8389266960003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0-479E-92FE-ABE5B7E422B5}"/>
            </c:ext>
          </c:extLst>
        </c:ser>
        <c:ser>
          <c:idx val="2"/>
          <c:order val="2"/>
          <c:tx>
            <c:strRef>
              <c:f>'Total Emissions'!$B$70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Emissions'!$C$70,'Total Emissions'!$AH$70)</c:f>
              <c:numCache>
                <c:formatCode>General</c:formatCode>
                <c:ptCount val="2"/>
                <c:pt idx="0">
                  <c:v>16213790</c:v>
                </c:pt>
                <c:pt idx="1">
                  <c:v>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70-479E-92FE-ABE5B7E422B5}"/>
            </c:ext>
          </c:extLst>
        </c:ser>
        <c:ser>
          <c:idx val="3"/>
          <c:order val="3"/>
          <c:tx>
            <c:strRef>
              <c:f>'Total Emissions'!$B$74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Emissions'!$C$74,'Total Emissions'!$AH$74)</c:f>
              <c:numCache>
                <c:formatCode>General</c:formatCode>
                <c:ptCount val="2"/>
                <c:pt idx="0">
                  <c:v>9786438.5133999996</c:v>
                </c:pt>
                <c:pt idx="1">
                  <c:v>754749.75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70-479E-92FE-ABE5B7E422B5}"/>
            </c:ext>
          </c:extLst>
        </c:ser>
        <c:ser>
          <c:idx val="4"/>
          <c:order val="4"/>
          <c:tx>
            <c:strRef>
              <c:f>'Total Emissions'!$B$69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Emissions'!$C$69,'Total Emissions'!$AH$69)</c:f>
              <c:numCache>
                <c:formatCode>General</c:formatCode>
                <c:ptCount val="2"/>
                <c:pt idx="0">
                  <c:v>8510024.0999999996</c:v>
                </c:pt>
                <c:pt idx="1">
                  <c:v>212764.7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70-479E-92FE-ABE5B7E422B5}"/>
            </c:ext>
          </c:extLst>
        </c:ser>
        <c:ser>
          <c:idx val="5"/>
          <c:order val="5"/>
          <c:tx>
            <c:strRef>
              <c:f>'Total Emissions'!$B$75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Emissions'!$C$75,'Total Emissions'!$AH$75)</c:f>
              <c:numCache>
                <c:formatCode>General</c:formatCode>
                <c:ptCount val="2"/>
                <c:pt idx="0">
                  <c:v>7872484</c:v>
                </c:pt>
                <c:pt idx="1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70-479E-92FE-ABE5B7E422B5}"/>
            </c:ext>
          </c:extLst>
        </c:ser>
        <c:ser>
          <c:idx val="6"/>
          <c:order val="6"/>
          <c:tx>
            <c:strRef>
              <c:f>'Total Emissions'!$B$71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Emissions'!$C$71,'Total Emissions'!$AH$71)</c:f>
              <c:numCache>
                <c:formatCode>General</c:formatCode>
                <c:ptCount val="2"/>
                <c:pt idx="0">
                  <c:v>6884914.7750000004</c:v>
                </c:pt>
                <c:pt idx="1">
                  <c:v>1707576.2365000001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70-479E-92FE-ABE5B7E422B5}"/>
            </c:ext>
          </c:extLst>
        </c:ser>
        <c:ser>
          <c:idx val="7"/>
          <c:order val="7"/>
          <c:tx>
            <c:strRef>
              <c:f>'Total Emissions'!$B$77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Emissions'!$C$77,'Total Emissions'!$AH$77)</c:f>
              <c:numCache>
                <c:formatCode>General</c:formatCode>
                <c:ptCount val="2"/>
                <c:pt idx="0">
                  <c:v>5790901</c:v>
                </c:pt>
                <c:pt idx="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70-479E-92FE-ABE5B7E422B5}"/>
            </c:ext>
          </c:extLst>
        </c:ser>
        <c:ser>
          <c:idx val="8"/>
          <c:order val="8"/>
          <c:tx>
            <c:strRef>
              <c:f>'Total Emissions'!$B$78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Emissions'!$C$78,'Total Emissions'!$AH$78)</c:f>
              <c:numCache>
                <c:formatCode>General</c:formatCode>
                <c:ptCount val="2"/>
                <c:pt idx="0">
                  <c:v>3801677</c:v>
                </c:pt>
                <c:pt idx="1">
                  <c:v>2765585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70-479E-92FE-ABE5B7E422B5}"/>
            </c:ext>
          </c:extLst>
        </c:ser>
        <c:ser>
          <c:idx val="9"/>
          <c:order val="9"/>
          <c:tx>
            <c:strRef>
              <c:f>'Total Emissions'!$B$79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Emissions'!$C$79,'Total Emissions'!$AH$79)</c:f>
              <c:numCache>
                <c:formatCode>General</c:formatCode>
                <c:ptCount val="2"/>
                <c:pt idx="0">
                  <c:v>729368.12510000006</c:v>
                </c:pt>
                <c:pt idx="1">
                  <c:v>184475.91810000001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70-479E-92FE-ABE5B7E422B5}"/>
            </c:ext>
          </c:extLst>
        </c:ser>
        <c:ser>
          <c:idx val="10"/>
          <c:order val="10"/>
          <c:tx>
            <c:strRef>
              <c:f>'Total Emissions'!$B$81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Emissions'!$C$81,'Total Emissions'!$AH$81)</c:f>
              <c:numCache>
                <c:formatCode>General</c:formatCode>
                <c:ptCount val="2"/>
                <c:pt idx="0">
                  <c:v>384783.25699999998</c:v>
                </c:pt>
                <c:pt idx="1">
                  <c:v>171227.94409999999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70-479E-92FE-ABE5B7E422B5}"/>
            </c:ext>
          </c:extLst>
        </c:ser>
        <c:ser>
          <c:idx val="11"/>
          <c:order val="11"/>
          <c:tx>
            <c:strRef>
              <c:f>'Total Emissions'!$B$72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Emissions'!$C$72,'Total Emissions'!$AH$72)</c:f>
              <c:numCache>
                <c:formatCode>General</c:formatCode>
                <c:ptCount val="2"/>
                <c:pt idx="0">
                  <c:v>221100.7</c:v>
                </c:pt>
                <c:pt idx="1">
                  <c:v>53563.99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70-479E-92FE-ABE5B7E422B5}"/>
            </c:ext>
          </c:extLst>
        </c:ser>
        <c:ser>
          <c:idx val="12"/>
          <c:order val="12"/>
          <c:tx>
            <c:strRef>
              <c:f>'Total Emissions'!$B$80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Emissions'!$C$80,'Total Emissions'!$AH$80)</c:f>
              <c:numCache>
                <c:formatCode>General</c:formatCode>
                <c:ptCount val="2"/>
                <c:pt idx="0">
                  <c:v>147.99354122</c:v>
                </c:pt>
                <c:pt idx="1">
                  <c:v>231109.5955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70-479E-92FE-ABE5B7E42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50001"/>
        <c:axId val="50150002"/>
      </c:barChart>
      <c:catAx>
        <c:axId val="501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50002"/>
        <c:crosses val="autoZero"/>
        <c:auto val="1"/>
        <c:lblAlgn val="ctr"/>
        <c:lblOffset val="100"/>
        <c:noMultiLvlLbl val="0"/>
      </c:catAx>
      <c:valAx>
        <c:axId val="501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5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Emissions'!$B$87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Emissions'!$C$87:$AH$87</c:f>
              <c:numCache>
                <c:formatCode>General</c:formatCode>
                <c:ptCount val="32"/>
                <c:pt idx="0">
                  <c:v>24286310</c:v>
                </c:pt>
                <c:pt idx="1">
                  <c:v>24217940</c:v>
                </c:pt>
                <c:pt idx="2">
                  <c:v>23166380</c:v>
                </c:pt>
                <c:pt idx="3">
                  <c:v>21963040</c:v>
                </c:pt>
                <c:pt idx="4">
                  <c:v>20837070</c:v>
                </c:pt>
                <c:pt idx="5">
                  <c:v>19453880</c:v>
                </c:pt>
                <c:pt idx="6">
                  <c:v>17345270</c:v>
                </c:pt>
                <c:pt idx="7">
                  <c:v>15824550</c:v>
                </c:pt>
                <c:pt idx="8">
                  <c:v>14200710</c:v>
                </c:pt>
                <c:pt idx="9">
                  <c:v>12547850</c:v>
                </c:pt>
                <c:pt idx="10">
                  <c:v>10970820</c:v>
                </c:pt>
                <c:pt idx="11">
                  <c:v>9602140</c:v>
                </c:pt>
                <c:pt idx="12">
                  <c:v>8439760</c:v>
                </c:pt>
                <c:pt idx="13">
                  <c:v>7435527</c:v>
                </c:pt>
                <c:pt idx="14">
                  <c:v>6526361</c:v>
                </c:pt>
                <c:pt idx="15">
                  <c:v>5532054</c:v>
                </c:pt>
                <c:pt idx="16">
                  <c:v>4700137</c:v>
                </c:pt>
                <c:pt idx="17">
                  <c:v>4104683</c:v>
                </c:pt>
                <c:pt idx="18">
                  <c:v>3513066</c:v>
                </c:pt>
                <c:pt idx="19">
                  <c:v>2955847</c:v>
                </c:pt>
                <c:pt idx="20">
                  <c:v>2488009</c:v>
                </c:pt>
                <c:pt idx="21">
                  <c:v>2071096</c:v>
                </c:pt>
                <c:pt idx="22">
                  <c:v>1698902</c:v>
                </c:pt>
                <c:pt idx="23">
                  <c:v>1360282</c:v>
                </c:pt>
                <c:pt idx="24">
                  <c:v>1064796</c:v>
                </c:pt>
                <c:pt idx="25">
                  <c:v>814465.2</c:v>
                </c:pt>
                <c:pt idx="26">
                  <c:v>606112.19999999995</c:v>
                </c:pt>
                <c:pt idx="27">
                  <c:v>435967.4</c:v>
                </c:pt>
                <c:pt idx="28">
                  <c:v>300082.7</c:v>
                </c:pt>
                <c:pt idx="29">
                  <c:v>193213.5</c:v>
                </c:pt>
                <c:pt idx="30">
                  <c:v>109065.8</c:v>
                </c:pt>
                <c:pt idx="31">
                  <c:v>40572.46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E-4B24-ABF1-4AFBBF36D1B2}"/>
            </c:ext>
          </c:extLst>
        </c:ser>
        <c:ser>
          <c:idx val="1"/>
          <c:order val="1"/>
          <c:tx>
            <c:strRef>
              <c:f>'Total Emissions'!$B$90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Emissions'!$C$90:$AH$90</c:f>
              <c:numCache>
                <c:formatCode>General</c:formatCode>
                <c:ptCount val="32"/>
                <c:pt idx="0">
                  <c:v>21637454.120000001</c:v>
                </c:pt>
                <c:pt idx="1">
                  <c:v>21641620.859999999</c:v>
                </c:pt>
                <c:pt idx="2">
                  <c:v>21699280.300000001</c:v>
                </c:pt>
                <c:pt idx="3">
                  <c:v>21733022.100000001</c:v>
                </c:pt>
                <c:pt idx="4">
                  <c:v>21494915.300000001</c:v>
                </c:pt>
                <c:pt idx="5">
                  <c:v>20850941.600000001</c:v>
                </c:pt>
                <c:pt idx="6">
                  <c:v>20218437.899999999</c:v>
                </c:pt>
                <c:pt idx="7">
                  <c:v>19325533.800000001</c:v>
                </c:pt>
                <c:pt idx="8">
                  <c:v>18423638.600000001</c:v>
                </c:pt>
                <c:pt idx="9">
                  <c:v>17506263.600000001</c:v>
                </c:pt>
                <c:pt idx="10">
                  <c:v>16380016.800000001</c:v>
                </c:pt>
                <c:pt idx="11">
                  <c:v>10560325.4</c:v>
                </c:pt>
                <c:pt idx="12">
                  <c:v>9250587.3000000007</c:v>
                </c:pt>
                <c:pt idx="13">
                  <c:v>7969954.2000000002</c:v>
                </c:pt>
                <c:pt idx="14">
                  <c:v>6735322.4000000004</c:v>
                </c:pt>
                <c:pt idx="15">
                  <c:v>5531853</c:v>
                </c:pt>
                <c:pt idx="16">
                  <c:v>4486995.3</c:v>
                </c:pt>
                <c:pt idx="17">
                  <c:v>3846233.9</c:v>
                </c:pt>
                <c:pt idx="18">
                  <c:v>3250288.39</c:v>
                </c:pt>
                <c:pt idx="19">
                  <c:v>2696966.79</c:v>
                </c:pt>
                <c:pt idx="20">
                  <c:v>2167549.56</c:v>
                </c:pt>
                <c:pt idx="21">
                  <c:v>1704457.423</c:v>
                </c:pt>
                <c:pt idx="22">
                  <c:v>1633896.6990416429</c:v>
                </c:pt>
                <c:pt idx="23">
                  <c:v>1588193.6952815871</c:v>
                </c:pt>
                <c:pt idx="24">
                  <c:v>1541839.591894879</c:v>
                </c:pt>
                <c:pt idx="25">
                  <c:v>1494797.1886539171</c:v>
                </c:pt>
                <c:pt idx="26">
                  <c:v>258138.30494406499</c:v>
                </c:pt>
                <c:pt idx="27">
                  <c:v>209739.902065417</c:v>
                </c:pt>
                <c:pt idx="28">
                  <c:v>160588.79930487301</c:v>
                </c:pt>
                <c:pt idx="29">
                  <c:v>110693.496632956</c:v>
                </c:pt>
                <c:pt idx="30">
                  <c:v>60066.193773758998</c:v>
                </c:pt>
                <c:pt idx="31">
                  <c:v>8720.8245021260009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CE-4B24-ABF1-4AFBBF36D1B2}"/>
            </c:ext>
          </c:extLst>
        </c:ser>
        <c:ser>
          <c:idx val="2"/>
          <c:order val="2"/>
          <c:tx>
            <c:strRef>
              <c:f>'Total Emissions'!$B$84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Emissions'!$C$84:$AH$84</c:f>
              <c:numCache>
                <c:formatCode>General</c:formatCode>
                <c:ptCount val="32"/>
                <c:pt idx="0">
                  <c:v>16213790</c:v>
                </c:pt>
                <c:pt idx="1">
                  <c:v>15531020</c:v>
                </c:pt>
                <c:pt idx="2">
                  <c:v>14818260</c:v>
                </c:pt>
                <c:pt idx="3">
                  <c:v>14088080</c:v>
                </c:pt>
                <c:pt idx="4">
                  <c:v>13373050</c:v>
                </c:pt>
                <c:pt idx="5">
                  <c:v>12528840</c:v>
                </c:pt>
                <c:pt idx="6">
                  <c:v>11750050</c:v>
                </c:pt>
                <c:pt idx="7">
                  <c:v>10923790</c:v>
                </c:pt>
                <c:pt idx="8">
                  <c:v>10137830</c:v>
                </c:pt>
                <c:pt idx="9">
                  <c:v>9372473</c:v>
                </c:pt>
                <c:pt idx="10">
                  <c:v>8628280</c:v>
                </c:pt>
                <c:pt idx="11">
                  <c:v>7917861</c:v>
                </c:pt>
                <c:pt idx="12">
                  <c:v>7235565</c:v>
                </c:pt>
                <c:pt idx="13">
                  <c:v>6584524</c:v>
                </c:pt>
                <c:pt idx="14">
                  <c:v>5951586</c:v>
                </c:pt>
                <c:pt idx="15">
                  <c:v>5324069</c:v>
                </c:pt>
                <c:pt idx="16">
                  <c:v>4732364</c:v>
                </c:pt>
                <c:pt idx="17">
                  <c:v>4407526</c:v>
                </c:pt>
                <c:pt idx="18">
                  <c:v>4088349</c:v>
                </c:pt>
                <c:pt idx="19">
                  <c:v>3778517</c:v>
                </c:pt>
                <c:pt idx="20">
                  <c:v>3529889</c:v>
                </c:pt>
                <c:pt idx="21">
                  <c:v>3287976</c:v>
                </c:pt>
                <c:pt idx="22">
                  <c:v>3185261</c:v>
                </c:pt>
                <c:pt idx="23">
                  <c:v>3087191</c:v>
                </c:pt>
                <c:pt idx="24">
                  <c:v>2994913</c:v>
                </c:pt>
                <c:pt idx="25">
                  <c:v>2908654</c:v>
                </c:pt>
                <c:pt idx="26">
                  <c:v>2827994</c:v>
                </c:pt>
                <c:pt idx="27">
                  <c:v>2752521</c:v>
                </c:pt>
                <c:pt idx="28">
                  <c:v>2681629</c:v>
                </c:pt>
                <c:pt idx="29">
                  <c:v>2614683</c:v>
                </c:pt>
                <c:pt idx="30">
                  <c:v>2550914</c:v>
                </c:pt>
                <c:pt idx="31">
                  <c:v>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CE-4B24-ABF1-4AFBBF36D1B2}"/>
            </c:ext>
          </c:extLst>
        </c:ser>
        <c:ser>
          <c:idx val="3"/>
          <c:order val="3"/>
          <c:tx>
            <c:strRef>
              <c:f>'Total Emissions'!$B$88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Emissions'!$C$88:$AH$88</c:f>
              <c:numCache>
                <c:formatCode>General</c:formatCode>
                <c:ptCount val="32"/>
                <c:pt idx="0">
                  <c:v>9786438.5133999996</c:v>
                </c:pt>
                <c:pt idx="1">
                  <c:v>9728744.0730000008</c:v>
                </c:pt>
                <c:pt idx="2">
                  <c:v>9804489.1209999993</c:v>
                </c:pt>
                <c:pt idx="3">
                  <c:v>10159357.706</c:v>
                </c:pt>
                <c:pt idx="4">
                  <c:v>10115349.004000001</c:v>
                </c:pt>
                <c:pt idx="5">
                  <c:v>10081691.539999999</c:v>
                </c:pt>
                <c:pt idx="6">
                  <c:v>2745509.9739999999</c:v>
                </c:pt>
                <c:pt idx="7">
                  <c:v>2441232.148</c:v>
                </c:pt>
                <c:pt idx="8">
                  <c:v>2153146.3130000001</c:v>
                </c:pt>
                <c:pt idx="9">
                  <c:v>1878152.078</c:v>
                </c:pt>
                <c:pt idx="10">
                  <c:v>1622467.291</c:v>
                </c:pt>
                <c:pt idx="11">
                  <c:v>1435664.4879999999</c:v>
                </c:pt>
                <c:pt idx="12">
                  <c:v>1390243.4979999999</c:v>
                </c:pt>
                <c:pt idx="13">
                  <c:v>1334480.942</c:v>
                </c:pt>
                <c:pt idx="14">
                  <c:v>1271701.8970000001</c:v>
                </c:pt>
                <c:pt idx="15">
                  <c:v>1204019.675</c:v>
                </c:pt>
                <c:pt idx="16">
                  <c:v>1143946.0319999999</c:v>
                </c:pt>
                <c:pt idx="17">
                  <c:v>1087746.084</c:v>
                </c:pt>
                <c:pt idx="18">
                  <c:v>1032243.436</c:v>
                </c:pt>
                <c:pt idx="19">
                  <c:v>976974.01800000004</c:v>
                </c:pt>
                <c:pt idx="20">
                  <c:v>922311.66600000008</c:v>
                </c:pt>
                <c:pt idx="21">
                  <c:v>874484.64099999995</c:v>
                </c:pt>
                <c:pt idx="22">
                  <c:v>857475.44099999999</c:v>
                </c:pt>
                <c:pt idx="23">
                  <c:v>838068.56500000006</c:v>
                </c:pt>
                <c:pt idx="24">
                  <c:v>814528.71400000004</c:v>
                </c:pt>
                <c:pt idx="25">
                  <c:v>786990.73599999992</c:v>
                </c:pt>
                <c:pt idx="26">
                  <c:v>754745.09900000005</c:v>
                </c:pt>
                <c:pt idx="27">
                  <c:v>754745.20900000003</c:v>
                </c:pt>
                <c:pt idx="28">
                  <c:v>754745.21100000001</c:v>
                </c:pt>
                <c:pt idx="29">
                  <c:v>754745.41299999994</c:v>
                </c:pt>
                <c:pt idx="30">
                  <c:v>754745.41899999999</c:v>
                </c:pt>
                <c:pt idx="31">
                  <c:v>754745.52300000004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CE-4B24-ABF1-4AFBBF36D1B2}"/>
            </c:ext>
          </c:extLst>
        </c:ser>
        <c:ser>
          <c:idx val="4"/>
          <c:order val="4"/>
          <c:tx>
            <c:strRef>
              <c:f>'Total Emissions'!$B$83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Emissions'!$C$83:$AH$83</c:f>
              <c:numCache>
                <c:formatCode>General</c:formatCode>
                <c:ptCount val="32"/>
                <c:pt idx="0">
                  <c:v>8510024.0999999996</c:v>
                </c:pt>
                <c:pt idx="1">
                  <c:v>8510023.0999999996</c:v>
                </c:pt>
                <c:pt idx="2">
                  <c:v>8510006.1999999993</c:v>
                </c:pt>
                <c:pt idx="3">
                  <c:v>8509989.1999999993</c:v>
                </c:pt>
                <c:pt idx="4">
                  <c:v>8503640.3000000007</c:v>
                </c:pt>
                <c:pt idx="5">
                  <c:v>8497291.4000000004</c:v>
                </c:pt>
                <c:pt idx="6">
                  <c:v>454601.7</c:v>
                </c:pt>
                <c:pt idx="7">
                  <c:v>443739.3</c:v>
                </c:pt>
                <c:pt idx="8">
                  <c:v>433196.6</c:v>
                </c:pt>
                <c:pt idx="9">
                  <c:v>422959.9</c:v>
                </c:pt>
                <c:pt idx="10">
                  <c:v>413015.8</c:v>
                </c:pt>
                <c:pt idx="11">
                  <c:v>403352.3</c:v>
                </c:pt>
                <c:pt idx="12">
                  <c:v>387535.5</c:v>
                </c:pt>
                <c:pt idx="13">
                  <c:v>372144.8</c:v>
                </c:pt>
                <c:pt idx="14">
                  <c:v>357162.8</c:v>
                </c:pt>
                <c:pt idx="15">
                  <c:v>342573.3</c:v>
                </c:pt>
                <c:pt idx="16">
                  <c:v>328360.59999999998</c:v>
                </c:pt>
                <c:pt idx="17">
                  <c:v>319345.7</c:v>
                </c:pt>
                <c:pt idx="18">
                  <c:v>310553.5</c:v>
                </c:pt>
                <c:pt idx="19">
                  <c:v>301975.40000000002</c:v>
                </c:pt>
                <c:pt idx="20">
                  <c:v>293603.5</c:v>
                </c:pt>
                <c:pt idx="21">
                  <c:v>285430.09999999998</c:v>
                </c:pt>
                <c:pt idx="22">
                  <c:v>277391.40000000002</c:v>
                </c:pt>
                <c:pt idx="23">
                  <c:v>269543.5</c:v>
                </c:pt>
                <c:pt idx="24">
                  <c:v>261879.6</c:v>
                </c:pt>
                <c:pt idx="25">
                  <c:v>254393.2</c:v>
                </c:pt>
                <c:pt idx="26">
                  <c:v>247078.1</c:v>
                </c:pt>
                <c:pt idx="27">
                  <c:v>239898.3</c:v>
                </c:pt>
                <c:pt idx="28">
                  <c:v>232882.5</c:v>
                </c:pt>
                <c:pt idx="29">
                  <c:v>226025.1</c:v>
                </c:pt>
                <c:pt idx="30">
                  <c:v>219320.8</c:v>
                </c:pt>
                <c:pt idx="31">
                  <c:v>212764.7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CE-4B24-ABF1-4AFBBF36D1B2}"/>
            </c:ext>
          </c:extLst>
        </c:ser>
        <c:ser>
          <c:idx val="5"/>
          <c:order val="5"/>
          <c:tx>
            <c:strRef>
              <c:f>'Total Emissions'!$B$89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Emissions'!$C$89:$AH$89</c:f>
              <c:numCache>
                <c:formatCode>General</c:formatCode>
                <c:ptCount val="32"/>
                <c:pt idx="0">
                  <c:v>7872484</c:v>
                </c:pt>
                <c:pt idx="1">
                  <c:v>7872484</c:v>
                </c:pt>
                <c:pt idx="2">
                  <c:v>7785012</c:v>
                </c:pt>
                <c:pt idx="3">
                  <c:v>7697540</c:v>
                </c:pt>
                <c:pt idx="4">
                  <c:v>7610068</c:v>
                </c:pt>
                <c:pt idx="5">
                  <c:v>7522596</c:v>
                </c:pt>
                <c:pt idx="6">
                  <c:v>7435124</c:v>
                </c:pt>
                <c:pt idx="7">
                  <c:v>7347652</c:v>
                </c:pt>
                <c:pt idx="8">
                  <c:v>7260180</c:v>
                </c:pt>
                <c:pt idx="9">
                  <c:v>7172708</c:v>
                </c:pt>
                <c:pt idx="10">
                  <c:v>7085236</c:v>
                </c:pt>
                <c:pt idx="11">
                  <c:v>6997764</c:v>
                </c:pt>
                <c:pt idx="12">
                  <c:v>6910292</c:v>
                </c:pt>
                <c:pt idx="13">
                  <c:v>6822820</c:v>
                </c:pt>
                <c:pt idx="14">
                  <c:v>6735348</c:v>
                </c:pt>
                <c:pt idx="15">
                  <c:v>6647876</c:v>
                </c:pt>
                <c:pt idx="16">
                  <c:v>6560404</c:v>
                </c:pt>
                <c:pt idx="17">
                  <c:v>6472932</c:v>
                </c:pt>
                <c:pt idx="18">
                  <c:v>6385459</c:v>
                </c:pt>
                <c:pt idx="19">
                  <c:v>6297988</c:v>
                </c:pt>
                <c:pt idx="20">
                  <c:v>6297988</c:v>
                </c:pt>
                <c:pt idx="21">
                  <c:v>6297988</c:v>
                </c:pt>
                <c:pt idx="22">
                  <c:v>6297988</c:v>
                </c:pt>
                <c:pt idx="23">
                  <c:v>6297988</c:v>
                </c:pt>
                <c:pt idx="24">
                  <c:v>6297988</c:v>
                </c:pt>
                <c:pt idx="25">
                  <c:v>6297988</c:v>
                </c:pt>
                <c:pt idx="26">
                  <c:v>6297988</c:v>
                </c:pt>
                <c:pt idx="27">
                  <c:v>6297988</c:v>
                </c:pt>
                <c:pt idx="28">
                  <c:v>6297988</c:v>
                </c:pt>
                <c:pt idx="29">
                  <c:v>6297988</c:v>
                </c:pt>
                <c:pt idx="30">
                  <c:v>6297988</c:v>
                </c:pt>
                <c:pt idx="31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CE-4B24-ABF1-4AFBBF36D1B2}"/>
            </c:ext>
          </c:extLst>
        </c:ser>
        <c:ser>
          <c:idx val="6"/>
          <c:order val="6"/>
          <c:tx>
            <c:strRef>
              <c:f>'Total Emissions'!$B$85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Emissions'!$C$85:$AH$85</c:f>
              <c:numCache>
                <c:formatCode>General</c:formatCode>
                <c:ptCount val="32"/>
                <c:pt idx="0">
                  <c:v>6884914.7750000004</c:v>
                </c:pt>
                <c:pt idx="1">
                  <c:v>6883513.2640000004</c:v>
                </c:pt>
                <c:pt idx="2">
                  <c:v>6878768.4979999997</c:v>
                </c:pt>
                <c:pt idx="3">
                  <c:v>6874016.54</c:v>
                </c:pt>
                <c:pt idx="4">
                  <c:v>6750917.9500000002</c:v>
                </c:pt>
                <c:pt idx="5">
                  <c:v>6624770.125</c:v>
                </c:pt>
                <c:pt idx="6">
                  <c:v>6407372.9939999999</c:v>
                </c:pt>
                <c:pt idx="7">
                  <c:v>6197619.9409999996</c:v>
                </c:pt>
                <c:pt idx="8">
                  <c:v>5991526.4129999997</c:v>
                </c:pt>
                <c:pt idx="9">
                  <c:v>5788124.3870000001</c:v>
                </c:pt>
                <c:pt idx="10">
                  <c:v>5586464.7460000003</c:v>
                </c:pt>
                <c:pt idx="11">
                  <c:v>5379852.1579999998</c:v>
                </c:pt>
                <c:pt idx="12">
                  <c:v>5065692.1519999998</c:v>
                </c:pt>
                <c:pt idx="13">
                  <c:v>4758648.8739999998</c:v>
                </c:pt>
                <c:pt idx="14">
                  <c:v>4460208.4340000004</c:v>
                </c:pt>
                <c:pt idx="15">
                  <c:v>4171124.55</c:v>
                </c:pt>
                <c:pt idx="16">
                  <c:v>3891648.517</c:v>
                </c:pt>
                <c:pt idx="17">
                  <c:v>3712550.8360000001</c:v>
                </c:pt>
                <c:pt idx="18">
                  <c:v>3540378.111</c:v>
                </c:pt>
                <c:pt idx="19">
                  <c:v>3374770.909</c:v>
                </c:pt>
                <c:pt idx="20">
                  <c:v>3215236.4410000001</c:v>
                </c:pt>
                <c:pt idx="21">
                  <c:v>3061079.2510000002</c:v>
                </c:pt>
                <c:pt idx="22">
                  <c:v>2909482.227</c:v>
                </c:pt>
                <c:pt idx="23">
                  <c:v>2762551.7209999999</c:v>
                </c:pt>
                <c:pt idx="24">
                  <c:v>2619921.8020000001</c:v>
                </c:pt>
                <c:pt idx="25">
                  <c:v>2481244.9219999998</c:v>
                </c:pt>
                <c:pt idx="26">
                  <c:v>2344712.642</c:v>
                </c:pt>
                <c:pt idx="27">
                  <c:v>2211382.6549999998</c:v>
                </c:pt>
                <c:pt idx="28">
                  <c:v>2081187.8400999999</c:v>
                </c:pt>
                <c:pt idx="29">
                  <c:v>1953909.3233</c:v>
                </c:pt>
                <c:pt idx="30">
                  <c:v>1829394.601</c:v>
                </c:pt>
                <c:pt idx="31">
                  <c:v>1707531.8529000001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CE-4B24-ABF1-4AFBBF36D1B2}"/>
            </c:ext>
          </c:extLst>
        </c:ser>
        <c:ser>
          <c:idx val="7"/>
          <c:order val="7"/>
          <c:tx>
            <c:strRef>
              <c:f>'Total Emissions'!$B$91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Emissions'!$C$91:$AH$91</c:f>
              <c:numCache>
                <c:formatCode>General</c:formatCode>
                <c:ptCount val="32"/>
                <c:pt idx="0">
                  <c:v>5790901</c:v>
                </c:pt>
                <c:pt idx="1">
                  <c:v>5790901</c:v>
                </c:pt>
                <c:pt idx="2">
                  <c:v>5790901</c:v>
                </c:pt>
                <c:pt idx="3">
                  <c:v>5790901</c:v>
                </c:pt>
                <c:pt idx="4">
                  <c:v>5790901</c:v>
                </c:pt>
                <c:pt idx="5">
                  <c:v>5790901</c:v>
                </c:pt>
                <c:pt idx="6">
                  <c:v>5790901</c:v>
                </c:pt>
                <c:pt idx="7">
                  <c:v>5790901</c:v>
                </c:pt>
                <c:pt idx="8">
                  <c:v>5790901</c:v>
                </c:pt>
                <c:pt idx="9">
                  <c:v>5790901</c:v>
                </c:pt>
                <c:pt idx="10">
                  <c:v>5790901</c:v>
                </c:pt>
                <c:pt idx="11">
                  <c:v>5790901</c:v>
                </c:pt>
                <c:pt idx="12">
                  <c:v>5790901</c:v>
                </c:pt>
                <c:pt idx="13">
                  <c:v>5790901</c:v>
                </c:pt>
                <c:pt idx="14">
                  <c:v>5790901</c:v>
                </c:pt>
                <c:pt idx="15">
                  <c:v>5790901</c:v>
                </c:pt>
                <c:pt idx="16">
                  <c:v>5790901</c:v>
                </c:pt>
                <c:pt idx="17">
                  <c:v>5790901</c:v>
                </c:pt>
                <c:pt idx="18">
                  <c:v>5790901</c:v>
                </c:pt>
                <c:pt idx="19">
                  <c:v>5790901</c:v>
                </c:pt>
                <c:pt idx="20">
                  <c:v>5790901</c:v>
                </c:pt>
                <c:pt idx="21">
                  <c:v>5790901</c:v>
                </c:pt>
                <c:pt idx="22">
                  <c:v>5790901</c:v>
                </c:pt>
                <c:pt idx="23">
                  <c:v>5790901</c:v>
                </c:pt>
                <c:pt idx="24">
                  <c:v>5790901</c:v>
                </c:pt>
                <c:pt idx="25">
                  <c:v>5790901</c:v>
                </c:pt>
                <c:pt idx="26">
                  <c:v>5790901</c:v>
                </c:pt>
                <c:pt idx="27">
                  <c:v>5790901</c:v>
                </c:pt>
                <c:pt idx="28">
                  <c:v>5790901</c:v>
                </c:pt>
                <c:pt idx="29">
                  <c:v>5790901</c:v>
                </c:pt>
                <c:pt idx="30">
                  <c:v>5790901</c:v>
                </c:pt>
                <c:pt idx="3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CE-4B24-ABF1-4AFBBF36D1B2}"/>
            </c:ext>
          </c:extLst>
        </c:ser>
        <c:ser>
          <c:idx val="8"/>
          <c:order val="8"/>
          <c:tx>
            <c:strRef>
              <c:f>'Total Emissions'!$B$92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Emissions'!$C$92:$AH$92</c:f>
              <c:numCache>
                <c:formatCode>General</c:formatCode>
                <c:ptCount val="32"/>
                <c:pt idx="0">
                  <c:v>3801677</c:v>
                </c:pt>
                <c:pt idx="1">
                  <c:v>3801677</c:v>
                </c:pt>
                <c:pt idx="2">
                  <c:v>3801677</c:v>
                </c:pt>
                <c:pt idx="3">
                  <c:v>3801677</c:v>
                </c:pt>
                <c:pt idx="4">
                  <c:v>3801677</c:v>
                </c:pt>
                <c:pt idx="5">
                  <c:v>3801677</c:v>
                </c:pt>
                <c:pt idx="6">
                  <c:v>3746733</c:v>
                </c:pt>
                <c:pt idx="7">
                  <c:v>3693429</c:v>
                </c:pt>
                <c:pt idx="8">
                  <c:v>3641692</c:v>
                </c:pt>
                <c:pt idx="9">
                  <c:v>3591456</c:v>
                </c:pt>
                <c:pt idx="10">
                  <c:v>3542654</c:v>
                </c:pt>
                <c:pt idx="11">
                  <c:v>3495228</c:v>
                </c:pt>
                <c:pt idx="12">
                  <c:v>3449118</c:v>
                </c:pt>
                <c:pt idx="13">
                  <c:v>3404272</c:v>
                </c:pt>
                <c:pt idx="14">
                  <c:v>3360638</c:v>
                </c:pt>
                <c:pt idx="15">
                  <c:v>3318167</c:v>
                </c:pt>
                <c:pt idx="16">
                  <c:v>3276815</c:v>
                </c:pt>
                <c:pt idx="17">
                  <c:v>3236536</c:v>
                </c:pt>
                <c:pt idx="18">
                  <c:v>3197290</c:v>
                </c:pt>
                <c:pt idx="19">
                  <c:v>3159037</c:v>
                </c:pt>
                <c:pt idx="20">
                  <c:v>3121741</c:v>
                </c:pt>
                <c:pt idx="21">
                  <c:v>3085367</c:v>
                </c:pt>
                <c:pt idx="22">
                  <c:v>3049879</c:v>
                </c:pt>
                <c:pt idx="23">
                  <c:v>3015246</c:v>
                </c:pt>
                <c:pt idx="24">
                  <c:v>2981437</c:v>
                </c:pt>
                <c:pt idx="25">
                  <c:v>2948425</c:v>
                </c:pt>
                <c:pt idx="26">
                  <c:v>2916180</c:v>
                </c:pt>
                <c:pt idx="27">
                  <c:v>2884676</c:v>
                </c:pt>
                <c:pt idx="28">
                  <c:v>2853888</c:v>
                </c:pt>
                <c:pt idx="29">
                  <c:v>2823793</c:v>
                </c:pt>
                <c:pt idx="30">
                  <c:v>2794365</c:v>
                </c:pt>
                <c:pt idx="31">
                  <c:v>2765585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CE-4B24-ABF1-4AFBBF36D1B2}"/>
            </c:ext>
          </c:extLst>
        </c:ser>
        <c:ser>
          <c:idx val="9"/>
          <c:order val="9"/>
          <c:tx>
            <c:strRef>
              <c:f>'Total Emissions'!$B$93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Emissions'!$C$93:$AH$93</c:f>
              <c:numCache>
                <c:formatCode>General</c:formatCode>
                <c:ptCount val="32"/>
                <c:pt idx="0">
                  <c:v>729368.12510000006</c:v>
                </c:pt>
                <c:pt idx="1">
                  <c:v>728736.72509999992</c:v>
                </c:pt>
                <c:pt idx="2">
                  <c:v>726780.01119999995</c:v>
                </c:pt>
                <c:pt idx="3">
                  <c:v>723936.79739999992</c:v>
                </c:pt>
                <c:pt idx="4">
                  <c:v>714457.10759999999</c:v>
                </c:pt>
                <c:pt idx="5">
                  <c:v>697290.01769999997</c:v>
                </c:pt>
                <c:pt idx="6">
                  <c:v>677556.66760000004</c:v>
                </c:pt>
                <c:pt idx="7">
                  <c:v>653316.09070000006</c:v>
                </c:pt>
                <c:pt idx="8">
                  <c:v>627602.57479999994</c:v>
                </c:pt>
                <c:pt idx="9">
                  <c:v>599925.10869999998</c:v>
                </c:pt>
                <c:pt idx="10">
                  <c:v>567323.28159999999</c:v>
                </c:pt>
                <c:pt idx="11">
                  <c:v>534300.78350000002</c:v>
                </c:pt>
                <c:pt idx="12">
                  <c:v>494336.38799999998</c:v>
                </c:pt>
                <c:pt idx="13">
                  <c:v>454952.84869999997</c:v>
                </c:pt>
                <c:pt idx="14">
                  <c:v>417138.261</c:v>
                </c:pt>
                <c:pt idx="15">
                  <c:v>381218.1911</c:v>
                </c:pt>
                <c:pt idx="16">
                  <c:v>349870.13630000001</c:v>
                </c:pt>
                <c:pt idx="17">
                  <c:v>324538.37109999999</c:v>
                </c:pt>
                <c:pt idx="18">
                  <c:v>301726.59700000001</c:v>
                </c:pt>
                <c:pt idx="19">
                  <c:v>281131.19679999998</c:v>
                </c:pt>
                <c:pt idx="20">
                  <c:v>262231.68359999999</c:v>
                </c:pt>
                <c:pt idx="21">
                  <c:v>244983.3708</c:v>
                </c:pt>
                <c:pt idx="22">
                  <c:v>234881.40030000001</c:v>
                </c:pt>
                <c:pt idx="23">
                  <c:v>226263.25810000001</c:v>
                </c:pt>
                <c:pt idx="24">
                  <c:v>218980.55439999999</c:v>
                </c:pt>
                <c:pt idx="25">
                  <c:v>212665.35810000001</c:v>
                </c:pt>
                <c:pt idx="26">
                  <c:v>207062.2488</c:v>
                </c:pt>
                <c:pt idx="27">
                  <c:v>201660.51269999999</c:v>
                </c:pt>
                <c:pt idx="28">
                  <c:v>196504.44380000001</c:v>
                </c:pt>
                <c:pt idx="29">
                  <c:v>191527.19390000001</c:v>
                </c:pt>
                <c:pt idx="30">
                  <c:v>186603.8903</c:v>
                </c:pt>
                <c:pt idx="31">
                  <c:v>181988.20269999999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CE-4B24-ABF1-4AFBBF36D1B2}"/>
            </c:ext>
          </c:extLst>
        </c:ser>
        <c:ser>
          <c:idx val="10"/>
          <c:order val="10"/>
          <c:tx>
            <c:strRef>
              <c:f>'Total Emissions'!$B$95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Emissions'!$C$95:$AH$95</c:f>
              <c:numCache>
                <c:formatCode>General</c:formatCode>
                <c:ptCount val="32"/>
                <c:pt idx="0">
                  <c:v>384783.25699999998</c:v>
                </c:pt>
                <c:pt idx="1">
                  <c:v>384263.35700000002</c:v>
                </c:pt>
                <c:pt idx="2">
                  <c:v>381739.75699999998</c:v>
                </c:pt>
                <c:pt idx="3">
                  <c:v>378375.65700000001</c:v>
                </c:pt>
                <c:pt idx="4">
                  <c:v>373053.75699999998</c:v>
                </c:pt>
                <c:pt idx="5">
                  <c:v>366245.05699999997</c:v>
                </c:pt>
                <c:pt idx="6">
                  <c:v>356073.15700000001</c:v>
                </c:pt>
                <c:pt idx="7">
                  <c:v>345312.05699999997</c:v>
                </c:pt>
                <c:pt idx="8">
                  <c:v>333889.45699999999</c:v>
                </c:pt>
                <c:pt idx="9">
                  <c:v>321379.15700000001</c:v>
                </c:pt>
                <c:pt idx="10">
                  <c:v>307337.25699999998</c:v>
                </c:pt>
                <c:pt idx="11">
                  <c:v>291581.17700000003</c:v>
                </c:pt>
                <c:pt idx="12">
                  <c:v>275341.75699999998</c:v>
                </c:pt>
                <c:pt idx="13">
                  <c:v>259337.997</c:v>
                </c:pt>
                <c:pt idx="14">
                  <c:v>244242.897</c:v>
                </c:pt>
                <c:pt idx="15">
                  <c:v>230575.057</c:v>
                </c:pt>
                <c:pt idx="16">
                  <c:v>218668.51699999999</c:v>
                </c:pt>
                <c:pt idx="17">
                  <c:v>208742.13699999999</c:v>
                </c:pt>
                <c:pt idx="18">
                  <c:v>200740.00700000001</c:v>
                </c:pt>
                <c:pt idx="19">
                  <c:v>194490.217</c:v>
                </c:pt>
                <c:pt idx="20">
                  <c:v>189728.23800000001</c:v>
                </c:pt>
                <c:pt idx="21">
                  <c:v>186113.01300000001</c:v>
                </c:pt>
                <c:pt idx="22">
                  <c:v>183527.33199999999</c:v>
                </c:pt>
                <c:pt idx="23">
                  <c:v>181468.15</c:v>
                </c:pt>
                <c:pt idx="24">
                  <c:v>179750.28</c:v>
                </c:pt>
                <c:pt idx="25">
                  <c:v>178270.78</c:v>
                </c:pt>
                <c:pt idx="26">
                  <c:v>176949.32610000001</c:v>
                </c:pt>
                <c:pt idx="27">
                  <c:v>175683.29920000001</c:v>
                </c:pt>
                <c:pt idx="28">
                  <c:v>174490.60870000001</c:v>
                </c:pt>
                <c:pt idx="29">
                  <c:v>173355.7</c:v>
                </c:pt>
                <c:pt idx="30">
                  <c:v>172270.63279999999</c:v>
                </c:pt>
                <c:pt idx="31">
                  <c:v>171229.82250000001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CE-4B24-ABF1-4AFBBF36D1B2}"/>
            </c:ext>
          </c:extLst>
        </c:ser>
        <c:ser>
          <c:idx val="11"/>
          <c:order val="11"/>
          <c:tx>
            <c:strRef>
              <c:f>'Total Emissions'!$B$86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Emissions'!$C$86:$AH$86</c:f>
              <c:numCache>
                <c:formatCode>General</c:formatCode>
                <c:ptCount val="32"/>
                <c:pt idx="0">
                  <c:v>221100.7</c:v>
                </c:pt>
                <c:pt idx="1">
                  <c:v>221117.6</c:v>
                </c:pt>
                <c:pt idx="2">
                  <c:v>221611.4</c:v>
                </c:pt>
                <c:pt idx="3">
                  <c:v>221939.6</c:v>
                </c:pt>
                <c:pt idx="4">
                  <c:v>220510</c:v>
                </c:pt>
                <c:pt idx="5">
                  <c:v>215390.3</c:v>
                </c:pt>
                <c:pt idx="6">
                  <c:v>210399.6</c:v>
                </c:pt>
                <c:pt idx="7">
                  <c:v>204449.7</c:v>
                </c:pt>
                <c:pt idx="8">
                  <c:v>198430.9</c:v>
                </c:pt>
                <c:pt idx="9">
                  <c:v>192278.2</c:v>
                </c:pt>
                <c:pt idx="10">
                  <c:v>184046.6</c:v>
                </c:pt>
                <c:pt idx="11">
                  <c:v>128156.3</c:v>
                </c:pt>
                <c:pt idx="12">
                  <c:v>119250.4</c:v>
                </c:pt>
                <c:pt idx="13">
                  <c:v>110719.7</c:v>
                </c:pt>
                <c:pt idx="14">
                  <c:v>102749.7</c:v>
                </c:pt>
                <c:pt idx="15">
                  <c:v>95216.84</c:v>
                </c:pt>
                <c:pt idx="16">
                  <c:v>89360.08</c:v>
                </c:pt>
                <c:pt idx="17">
                  <c:v>84775.19</c:v>
                </c:pt>
                <c:pt idx="18">
                  <c:v>80688.02</c:v>
                </c:pt>
                <c:pt idx="19">
                  <c:v>77073.78</c:v>
                </c:pt>
                <c:pt idx="20">
                  <c:v>73759.95</c:v>
                </c:pt>
                <c:pt idx="21">
                  <c:v>71111.44</c:v>
                </c:pt>
                <c:pt idx="22">
                  <c:v>69546.44</c:v>
                </c:pt>
                <c:pt idx="23">
                  <c:v>68157.850000000006</c:v>
                </c:pt>
                <c:pt idx="24">
                  <c:v>66908.929999999993</c:v>
                </c:pt>
                <c:pt idx="25">
                  <c:v>65716.289999999994</c:v>
                </c:pt>
                <c:pt idx="26">
                  <c:v>52721.760000000002</c:v>
                </c:pt>
                <c:pt idx="27">
                  <c:v>51778.33</c:v>
                </c:pt>
                <c:pt idx="28">
                  <c:v>50876.78</c:v>
                </c:pt>
                <c:pt idx="29">
                  <c:v>50006.21</c:v>
                </c:pt>
                <c:pt idx="30">
                  <c:v>49066.57</c:v>
                </c:pt>
                <c:pt idx="31">
                  <c:v>48338.52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2CE-4B24-ABF1-4AFBBF36D1B2}"/>
            </c:ext>
          </c:extLst>
        </c:ser>
        <c:ser>
          <c:idx val="12"/>
          <c:order val="12"/>
          <c:tx>
            <c:strRef>
              <c:f>'Total Emissions'!$B$94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Emissions'!$C$94:$AH$94</c:f>
              <c:numCache>
                <c:formatCode>General</c:formatCode>
                <c:ptCount val="32"/>
                <c:pt idx="0">
                  <c:v>147.99354122</c:v>
                </c:pt>
                <c:pt idx="1">
                  <c:v>147.99354105</c:v>
                </c:pt>
                <c:pt idx="2">
                  <c:v>827.04334098000004</c:v>
                </c:pt>
                <c:pt idx="3">
                  <c:v>2554.5325415299999</c:v>
                </c:pt>
                <c:pt idx="4">
                  <c:v>5392.0788500000008</c:v>
                </c:pt>
                <c:pt idx="5">
                  <c:v>9221.9111099999991</c:v>
                </c:pt>
                <c:pt idx="6">
                  <c:v>13956.208979999999</c:v>
                </c:pt>
                <c:pt idx="7">
                  <c:v>19668.933639999999</c:v>
                </c:pt>
                <c:pt idx="8">
                  <c:v>26149.846000000001</c:v>
                </c:pt>
                <c:pt idx="9">
                  <c:v>33405.821900000003</c:v>
                </c:pt>
                <c:pt idx="10">
                  <c:v>41434.644999999997</c:v>
                </c:pt>
                <c:pt idx="11">
                  <c:v>50248.2454</c:v>
                </c:pt>
                <c:pt idx="12">
                  <c:v>59947.080499999996</c:v>
                </c:pt>
                <c:pt idx="13">
                  <c:v>70447.558600000004</c:v>
                </c:pt>
                <c:pt idx="14">
                  <c:v>81755.616699999999</c:v>
                </c:pt>
                <c:pt idx="15">
                  <c:v>93874.603000000003</c:v>
                </c:pt>
                <c:pt idx="16">
                  <c:v>106797.57180000001</c:v>
                </c:pt>
                <c:pt idx="17">
                  <c:v>114372.3726</c:v>
                </c:pt>
                <c:pt idx="18">
                  <c:v>122097.5944</c:v>
                </c:pt>
                <c:pt idx="19">
                  <c:v>129975.5034</c:v>
                </c:pt>
                <c:pt idx="20">
                  <c:v>137990.52059999999</c:v>
                </c:pt>
                <c:pt idx="21">
                  <c:v>146150.48120000001</c:v>
                </c:pt>
                <c:pt idx="22">
                  <c:v>154029.61040000001</c:v>
                </c:pt>
                <c:pt idx="23">
                  <c:v>162025.72810000001</c:v>
                </c:pt>
                <c:pt idx="24">
                  <c:v>170158.96549999999</c:v>
                </c:pt>
                <c:pt idx="25">
                  <c:v>178411.16690000001</c:v>
                </c:pt>
                <c:pt idx="26">
                  <c:v>186799.6225</c:v>
                </c:pt>
                <c:pt idx="27">
                  <c:v>195348.6698</c:v>
                </c:pt>
                <c:pt idx="28">
                  <c:v>203997.57320000001</c:v>
                </c:pt>
                <c:pt idx="29">
                  <c:v>212740.27100000001</c:v>
                </c:pt>
                <c:pt idx="30">
                  <c:v>221561.55040000001</c:v>
                </c:pt>
                <c:pt idx="31">
                  <c:v>230491.9871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2CE-4B24-ABF1-4AFBBF36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60001"/>
        <c:axId val="50160002"/>
      </c:areaChart>
      <c:catAx>
        <c:axId val="501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60002"/>
        <c:crosses val="autoZero"/>
        <c:auto val="1"/>
        <c:lblAlgn val="ctr"/>
        <c:lblOffset val="100"/>
        <c:tickLblSkip val="2"/>
        <c:noMultiLvlLbl val="0"/>
      </c:catAx>
      <c:valAx>
        <c:axId val="501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6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Emissions'!$B$87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Emissions'!$C$87,'Total Emissions'!$AH$87)</c:f>
              <c:numCache>
                <c:formatCode>General</c:formatCode>
                <c:ptCount val="2"/>
                <c:pt idx="0">
                  <c:v>24286310</c:v>
                </c:pt>
                <c:pt idx="1">
                  <c:v>40572.46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7-4EB9-A7B4-0F6650749C7F}"/>
            </c:ext>
          </c:extLst>
        </c:ser>
        <c:ser>
          <c:idx val="1"/>
          <c:order val="1"/>
          <c:tx>
            <c:strRef>
              <c:f>'Total Emissions'!$B$90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Emissions'!$C$90,'Total Emissions'!$AH$90)</c:f>
              <c:numCache>
                <c:formatCode>General</c:formatCode>
                <c:ptCount val="2"/>
                <c:pt idx="0">
                  <c:v>21637454.120000001</c:v>
                </c:pt>
                <c:pt idx="1">
                  <c:v>8720.8245021260009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7-4EB9-A7B4-0F6650749C7F}"/>
            </c:ext>
          </c:extLst>
        </c:ser>
        <c:ser>
          <c:idx val="2"/>
          <c:order val="2"/>
          <c:tx>
            <c:strRef>
              <c:f>'Total Emissions'!$B$84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Emissions'!$C$84,'Total Emissions'!$AH$84)</c:f>
              <c:numCache>
                <c:formatCode>General</c:formatCode>
                <c:ptCount val="2"/>
                <c:pt idx="0">
                  <c:v>16213790</c:v>
                </c:pt>
                <c:pt idx="1">
                  <c:v>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87-4EB9-A7B4-0F6650749C7F}"/>
            </c:ext>
          </c:extLst>
        </c:ser>
        <c:ser>
          <c:idx val="3"/>
          <c:order val="3"/>
          <c:tx>
            <c:strRef>
              <c:f>'Total Emissions'!$B$88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Emissions'!$C$88,'Total Emissions'!$AH$88)</c:f>
              <c:numCache>
                <c:formatCode>General</c:formatCode>
                <c:ptCount val="2"/>
                <c:pt idx="0">
                  <c:v>9786438.5133999996</c:v>
                </c:pt>
                <c:pt idx="1">
                  <c:v>754745.52300000004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87-4EB9-A7B4-0F6650749C7F}"/>
            </c:ext>
          </c:extLst>
        </c:ser>
        <c:ser>
          <c:idx val="4"/>
          <c:order val="4"/>
          <c:tx>
            <c:strRef>
              <c:f>'Total Emissions'!$B$83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Emissions'!$C$83,'Total Emissions'!$AH$83)</c:f>
              <c:numCache>
                <c:formatCode>General</c:formatCode>
                <c:ptCount val="2"/>
                <c:pt idx="0">
                  <c:v>8510024.0999999996</c:v>
                </c:pt>
                <c:pt idx="1">
                  <c:v>212764.7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87-4EB9-A7B4-0F6650749C7F}"/>
            </c:ext>
          </c:extLst>
        </c:ser>
        <c:ser>
          <c:idx val="5"/>
          <c:order val="5"/>
          <c:tx>
            <c:strRef>
              <c:f>'Total Emissions'!$B$89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Emissions'!$C$89,'Total Emissions'!$AH$89)</c:f>
              <c:numCache>
                <c:formatCode>General</c:formatCode>
                <c:ptCount val="2"/>
                <c:pt idx="0">
                  <c:v>7872484</c:v>
                </c:pt>
                <c:pt idx="1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87-4EB9-A7B4-0F6650749C7F}"/>
            </c:ext>
          </c:extLst>
        </c:ser>
        <c:ser>
          <c:idx val="6"/>
          <c:order val="6"/>
          <c:tx>
            <c:strRef>
              <c:f>'Total Emissions'!$B$85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Emissions'!$C$85,'Total Emissions'!$AH$85)</c:f>
              <c:numCache>
                <c:formatCode>General</c:formatCode>
                <c:ptCount val="2"/>
                <c:pt idx="0">
                  <c:v>6884914.7750000004</c:v>
                </c:pt>
                <c:pt idx="1">
                  <c:v>1707531.8529000001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87-4EB9-A7B4-0F6650749C7F}"/>
            </c:ext>
          </c:extLst>
        </c:ser>
        <c:ser>
          <c:idx val="7"/>
          <c:order val="7"/>
          <c:tx>
            <c:strRef>
              <c:f>'Total Emissions'!$B$91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Emissions'!$C$91,'Total Emissions'!$AH$91)</c:f>
              <c:numCache>
                <c:formatCode>General</c:formatCode>
                <c:ptCount val="2"/>
                <c:pt idx="0">
                  <c:v>5790901</c:v>
                </c:pt>
                <c:pt idx="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87-4EB9-A7B4-0F6650749C7F}"/>
            </c:ext>
          </c:extLst>
        </c:ser>
        <c:ser>
          <c:idx val="8"/>
          <c:order val="8"/>
          <c:tx>
            <c:strRef>
              <c:f>'Total Emissions'!$B$92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Emissions'!$C$92,'Total Emissions'!$AH$92)</c:f>
              <c:numCache>
                <c:formatCode>General</c:formatCode>
                <c:ptCount val="2"/>
                <c:pt idx="0">
                  <c:v>3801677</c:v>
                </c:pt>
                <c:pt idx="1">
                  <c:v>2765585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87-4EB9-A7B4-0F6650749C7F}"/>
            </c:ext>
          </c:extLst>
        </c:ser>
        <c:ser>
          <c:idx val="9"/>
          <c:order val="9"/>
          <c:tx>
            <c:strRef>
              <c:f>'Total Emissions'!$B$93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Emissions'!$C$93,'Total Emissions'!$AH$93)</c:f>
              <c:numCache>
                <c:formatCode>General</c:formatCode>
                <c:ptCount val="2"/>
                <c:pt idx="0">
                  <c:v>729368.12510000006</c:v>
                </c:pt>
                <c:pt idx="1">
                  <c:v>181988.20269999999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87-4EB9-A7B4-0F6650749C7F}"/>
            </c:ext>
          </c:extLst>
        </c:ser>
        <c:ser>
          <c:idx val="10"/>
          <c:order val="10"/>
          <c:tx>
            <c:strRef>
              <c:f>'Total Emissions'!$B$95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Emissions'!$C$95,'Total Emissions'!$AH$95)</c:f>
              <c:numCache>
                <c:formatCode>General</c:formatCode>
                <c:ptCount val="2"/>
                <c:pt idx="0">
                  <c:v>384783.25699999998</c:v>
                </c:pt>
                <c:pt idx="1">
                  <c:v>171229.82250000001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87-4EB9-A7B4-0F6650749C7F}"/>
            </c:ext>
          </c:extLst>
        </c:ser>
        <c:ser>
          <c:idx val="11"/>
          <c:order val="11"/>
          <c:tx>
            <c:strRef>
              <c:f>'Total Emissions'!$B$86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Emissions'!$C$86,'Total Emissions'!$AH$86)</c:f>
              <c:numCache>
                <c:formatCode>General</c:formatCode>
                <c:ptCount val="2"/>
                <c:pt idx="0">
                  <c:v>221100.7</c:v>
                </c:pt>
                <c:pt idx="1">
                  <c:v>48338.52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87-4EB9-A7B4-0F6650749C7F}"/>
            </c:ext>
          </c:extLst>
        </c:ser>
        <c:ser>
          <c:idx val="12"/>
          <c:order val="12"/>
          <c:tx>
            <c:strRef>
              <c:f>'Total Emissions'!$B$94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Emissions'!$C$94,'Total Emissions'!$AH$94)</c:f>
              <c:numCache>
                <c:formatCode>General</c:formatCode>
                <c:ptCount val="2"/>
                <c:pt idx="0">
                  <c:v>147.99354122</c:v>
                </c:pt>
                <c:pt idx="1">
                  <c:v>230491.9871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87-4EB9-A7B4-0F6650749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70001"/>
        <c:axId val="50170002"/>
      </c:barChart>
      <c:catAx>
        <c:axId val="501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70002"/>
        <c:crosses val="autoZero"/>
        <c:auto val="1"/>
        <c:lblAlgn val="ctr"/>
        <c:lblOffset val="100"/>
        <c:noMultiLvlLbl val="0"/>
      </c:catAx>
      <c:valAx>
        <c:axId val="501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7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Emissions'!$B$101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Emissions'!$C$101:$AH$101</c:f>
              <c:numCache>
                <c:formatCode>General</c:formatCode>
                <c:ptCount val="32"/>
                <c:pt idx="0">
                  <c:v>24286310</c:v>
                </c:pt>
                <c:pt idx="1">
                  <c:v>24217940</c:v>
                </c:pt>
                <c:pt idx="2">
                  <c:v>23820910</c:v>
                </c:pt>
                <c:pt idx="3">
                  <c:v>23235120</c:v>
                </c:pt>
                <c:pt idx="4">
                  <c:v>21729260</c:v>
                </c:pt>
                <c:pt idx="5">
                  <c:v>19983790</c:v>
                </c:pt>
                <c:pt idx="6">
                  <c:v>17567470</c:v>
                </c:pt>
                <c:pt idx="7">
                  <c:v>15775030</c:v>
                </c:pt>
                <c:pt idx="8">
                  <c:v>13935920</c:v>
                </c:pt>
                <c:pt idx="9">
                  <c:v>12133100</c:v>
                </c:pt>
                <c:pt idx="10">
                  <c:v>10465390</c:v>
                </c:pt>
                <c:pt idx="11">
                  <c:v>9040181</c:v>
                </c:pt>
                <c:pt idx="12">
                  <c:v>8125463</c:v>
                </c:pt>
                <c:pt idx="13">
                  <c:v>7346100</c:v>
                </c:pt>
                <c:pt idx="14">
                  <c:v>6649535</c:v>
                </c:pt>
                <c:pt idx="15">
                  <c:v>5896491</c:v>
                </c:pt>
                <c:pt idx="16">
                  <c:v>5277857</c:v>
                </c:pt>
                <c:pt idx="17">
                  <c:v>4659920</c:v>
                </c:pt>
                <c:pt idx="18">
                  <c:v>4065903</c:v>
                </c:pt>
                <c:pt idx="19">
                  <c:v>3517913</c:v>
                </c:pt>
                <c:pt idx="20">
                  <c:v>3071625</c:v>
                </c:pt>
                <c:pt idx="21">
                  <c:v>2676575</c:v>
                </c:pt>
                <c:pt idx="22">
                  <c:v>2219695</c:v>
                </c:pt>
                <c:pt idx="23">
                  <c:v>1823845</c:v>
                </c:pt>
                <c:pt idx="24">
                  <c:v>1488496</c:v>
                </c:pt>
                <c:pt idx="25">
                  <c:v>1207472</c:v>
                </c:pt>
                <c:pt idx="26">
                  <c:v>972001.5</c:v>
                </c:pt>
                <c:pt idx="27">
                  <c:v>774026.2</c:v>
                </c:pt>
                <c:pt idx="28">
                  <c:v>605762.9</c:v>
                </c:pt>
                <c:pt idx="29">
                  <c:v>460320.8</c:v>
                </c:pt>
                <c:pt idx="30">
                  <c:v>331800.3</c:v>
                </c:pt>
                <c:pt idx="31">
                  <c:v>215622.3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0-49B5-9020-316DA754F2E2}"/>
            </c:ext>
          </c:extLst>
        </c:ser>
        <c:ser>
          <c:idx val="1"/>
          <c:order val="1"/>
          <c:tx>
            <c:strRef>
              <c:f>'Total Emissions'!$B$104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Emissions'!$C$104:$AH$104</c:f>
              <c:numCache>
                <c:formatCode>General</c:formatCode>
                <c:ptCount val="32"/>
                <c:pt idx="0">
                  <c:v>21637454.120000001</c:v>
                </c:pt>
                <c:pt idx="1">
                  <c:v>21621214.120000001</c:v>
                </c:pt>
                <c:pt idx="2">
                  <c:v>21581604.989999998</c:v>
                </c:pt>
                <c:pt idx="3">
                  <c:v>21529340.870000001</c:v>
                </c:pt>
                <c:pt idx="4">
                  <c:v>20619140.91</c:v>
                </c:pt>
                <c:pt idx="5">
                  <c:v>19585297.234000001</c:v>
                </c:pt>
                <c:pt idx="6">
                  <c:v>18660606.857000001</c:v>
                </c:pt>
                <c:pt idx="7">
                  <c:v>17671694.776999999</c:v>
                </c:pt>
                <c:pt idx="8">
                  <c:v>16695922.991</c:v>
                </c:pt>
                <c:pt idx="9">
                  <c:v>15728859.499</c:v>
                </c:pt>
                <c:pt idx="10">
                  <c:v>14706365.304</c:v>
                </c:pt>
                <c:pt idx="11">
                  <c:v>10611789.403999999</c:v>
                </c:pt>
                <c:pt idx="12">
                  <c:v>10126288.093</c:v>
                </c:pt>
                <c:pt idx="13">
                  <c:v>9644296.6260000002</c:v>
                </c:pt>
                <c:pt idx="14">
                  <c:v>9174473.0040000007</c:v>
                </c:pt>
                <c:pt idx="15">
                  <c:v>8700827.227</c:v>
                </c:pt>
                <c:pt idx="16">
                  <c:v>8345247.2939999998</c:v>
                </c:pt>
                <c:pt idx="17">
                  <c:v>7993803.2070000004</c:v>
                </c:pt>
                <c:pt idx="18">
                  <c:v>7666424.9639999997</c:v>
                </c:pt>
                <c:pt idx="19">
                  <c:v>7359359.1660000002</c:v>
                </c:pt>
                <c:pt idx="20">
                  <c:v>7048867.852</c:v>
                </c:pt>
                <c:pt idx="21">
                  <c:v>6793873.5369999995</c:v>
                </c:pt>
                <c:pt idx="22">
                  <c:v>6334575.8490000004</c:v>
                </c:pt>
                <c:pt idx="23">
                  <c:v>5888975.2609999999</c:v>
                </c:pt>
                <c:pt idx="24">
                  <c:v>5455405.3739999998</c:v>
                </c:pt>
                <c:pt idx="25">
                  <c:v>5018659.3859999999</c:v>
                </c:pt>
                <c:pt idx="26">
                  <c:v>4297618.398</c:v>
                </c:pt>
                <c:pt idx="27">
                  <c:v>3934812.01</c:v>
                </c:pt>
                <c:pt idx="28">
                  <c:v>3577811.622</c:v>
                </c:pt>
                <c:pt idx="29">
                  <c:v>3225393.8339999998</c:v>
                </c:pt>
                <c:pt idx="30">
                  <c:v>2871458.1460000002</c:v>
                </c:pt>
                <c:pt idx="31">
                  <c:v>2531835.8986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0-49B5-9020-316DA754F2E2}"/>
            </c:ext>
          </c:extLst>
        </c:ser>
        <c:ser>
          <c:idx val="2"/>
          <c:order val="2"/>
          <c:tx>
            <c:strRef>
              <c:f>'Total Emissions'!$B$98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Emissions'!$C$98:$AH$98</c:f>
              <c:numCache>
                <c:formatCode>General</c:formatCode>
                <c:ptCount val="32"/>
                <c:pt idx="0">
                  <c:v>16213790</c:v>
                </c:pt>
                <c:pt idx="1">
                  <c:v>15531020</c:v>
                </c:pt>
                <c:pt idx="2">
                  <c:v>15205390</c:v>
                </c:pt>
                <c:pt idx="3">
                  <c:v>14842170</c:v>
                </c:pt>
                <c:pt idx="4">
                  <c:v>14122210</c:v>
                </c:pt>
                <c:pt idx="5">
                  <c:v>13408740</c:v>
                </c:pt>
                <c:pt idx="6">
                  <c:v>12761560</c:v>
                </c:pt>
                <c:pt idx="7">
                  <c:v>12066740</c:v>
                </c:pt>
                <c:pt idx="8">
                  <c:v>11413490</c:v>
                </c:pt>
                <c:pt idx="9">
                  <c:v>10785560</c:v>
                </c:pt>
                <c:pt idx="10">
                  <c:v>10184660</c:v>
                </c:pt>
                <c:pt idx="11">
                  <c:v>9622387</c:v>
                </c:pt>
                <c:pt idx="12">
                  <c:v>9239758</c:v>
                </c:pt>
                <c:pt idx="13">
                  <c:v>8880365</c:v>
                </c:pt>
                <c:pt idx="14">
                  <c:v>8533634</c:v>
                </c:pt>
                <c:pt idx="15">
                  <c:v>8189600</c:v>
                </c:pt>
                <c:pt idx="16">
                  <c:v>7872010</c:v>
                </c:pt>
                <c:pt idx="17">
                  <c:v>7562693</c:v>
                </c:pt>
                <c:pt idx="18">
                  <c:v>7264205</c:v>
                </c:pt>
                <c:pt idx="19">
                  <c:v>6978830</c:v>
                </c:pt>
                <c:pt idx="20">
                  <c:v>6802549</c:v>
                </c:pt>
                <c:pt idx="21">
                  <c:v>6636570</c:v>
                </c:pt>
                <c:pt idx="22">
                  <c:v>6400076</c:v>
                </c:pt>
                <c:pt idx="23">
                  <c:v>6178080</c:v>
                </c:pt>
                <c:pt idx="24">
                  <c:v>5970364</c:v>
                </c:pt>
                <c:pt idx="25">
                  <c:v>5776032</c:v>
                </c:pt>
                <c:pt idx="26">
                  <c:v>5593900</c:v>
                </c:pt>
                <c:pt idx="27">
                  <c:v>5423172</c:v>
                </c:pt>
                <c:pt idx="28">
                  <c:v>5262516</c:v>
                </c:pt>
                <c:pt idx="29">
                  <c:v>5111098</c:v>
                </c:pt>
                <c:pt idx="30">
                  <c:v>4968216</c:v>
                </c:pt>
                <c:pt idx="31">
                  <c:v>4833335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0-49B5-9020-316DA754F2E2}"/>
            </c:ext>
          </c:extLst>
        </c:ser>
        <c:ser>
          <c:idx val="3"/>
          <c:order val="3"/>
          <c:tx>
            <c:strRef>
              <c:f>'Total Emissions'!$B$102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Emissions'!$C$102:$AH$102</c:f>
              <c:numCache>
                <c:formatCode>General</c:formatCode>
                <c:ptCount val="32"/>
                <c:pt idx="0">
                  <c:v>9786438.5133999996</c:v>
                </c:pt>
                <c:pt idx="1">
                  <c:v>9745998.2129999995</c:v>
                </c:pt>
                <c:pt idx="2">
                  <c:v>9831359.2420000006</c:v>
                </c:pt>
                <c:pt idx="3">
                  <c:v>9917963.0109999999</c:v>
                </c:pt>
                <c:pt idx="4">
                  <c:v>9623652.1769999992</c:v>
                </c:pt>
                <c:pt idx="5">
                  <c:v>9241995.0749999993</c:v>
                </c:pt>
                <c:pt idx="6">
                  <c:v>2696354.071</c:v>
                </c:pt>
                <c:pt idx="7">
                  <c:v>2459237.6060000001</c:v>
                </c:pt>
                <c:pt idx="8">
                  <c:v>2240342.7880000002</c:v>
                </c:pt>
                <c:pt idx="9">
                  <c:v>2025620.1040000001</c:v>
                </c:pt>
                <c:pt idx="10">
                  <c:v>1799458.7439999999</c:v>
                </c:pt>
                <c:pt idx="11">
                  <c:v>1618323.878</c:v>
                </c:pt>
                <c:pt idx="12">
                  <c:v>1597076.983</c:v>
                </c:pt>
                <c:pt idx="13">
                  <c:v>1569878.148</c:v>
                </c:pt>
                <c:pt idx="14">
                  <c:v>1538138.2290000001</c:v>
                </c:pt>
                <c:pt idx="15">
                  <c:v>1502620.216</c:v>
                </c:pt>
                <c:pt idx="16">
                  <c:v>1466847.71</c:v>
                </c:pt>
                <c:pt idx="17">
                  <c:v>1422951.6</c:v>
                </c:pt>
                <c:pt idx="18">
                  <c:v>1373813.43</c:v>
                </c:pt>
                <c:pt idx="19">
                  <c:v>1317543.57</c:v>
                </c:pt>
                <c:pt idx="20">
                  <c:v>1252034.703</c:v>
                </c:pt>
                <c:pt idx="21">
                  <c:v>1183763.5220000001</c:v>
                </c:pt>
                <c:pt idx="22">
                  <c:v>1107503.398</c:v>
                </c:pt>
                <c:pt idx="23">
                  <c:v>1025618.204</c:v>
                </c:pt>
                <c:pt idx="24">
                  <c:v>938983.75599999994</c:v>
                </c:pt>
                <c:pt idx="25">
                  <c:v>848443.85199999996</c:v>
                </c:pt>
                <c:pt idx="26">
                  <c:v>754749.64599999995</c:v>
                </c:pt>
                <c:pt idx="27">
                  <c:v>754749.75800000003</c:v>
                </c:pt>
                <c:pt idx="28">
                  <c:v>754749.75300000003</c:v>
                </c:pt>
                <c:pt idx="29">
                  <c:v>754749.848</c:v>
                </c:pt>
                <c:pt idx="30">
                  <c:v>754749.755</c:v>
                </c:pt>
                <c:pt idx="31">
                  <c:v>754749.65899999999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90-49B5-9020-316DA754F2E2}"/>
            </c:ext>
          </c:extLst>
        </c:ser>
        <c:ser>
          <c:idx val="4"/>
          <c:order val="4"/>
          <c:tx>
            <c:strRef>
              <c:f>'Total Emissions'!$B$97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Emissions'!$C$97:$AH$97</c:f>
              <c:numCache>
                <c:formatCode>General</c:formatCode>
                <c:ptCount val="32"/>
                <c:pt idx="0">
                  <c:v>8510024.0999999996</c:v>
                </c:pt>
                <c:pt idx="1">
                  <c:v>8510023.0999999996</c:v>
                </c:pt>
                <c:pt idx="2">
                  <c:v>8510023.0999999996</c:v>
                </c:pt>
                <c:pt idx="3">
                  <c:v>8510023.0999999996</c:v>
                </c:pt>
                <c:pt idx="4">
                  <c:v>8152523.2999999998</c:v>
                </c:pt>
                <c:pt idx="5">
                  <c:v>7795023.5999999996</c:v>
                </c:pt>
                <c:pt idx="6">
                  <c:v>430114.9</c:v>
                </c:pt>
                <c:pt idx="7">
                  <c:v>414022.1</c:v>
                </c:pt>
                <c:pt idx="8">
                  <c:v>397924.4</c:v>
                </c:pt>
                <c:pt idx="9">
                  <c:v>381821.7</c:v>
                </c:pt>
                <c:pt idx="10">
                  <c:v>365714.2</c:v>
                </c:pt>
                <c:pt idx="11">
                  <c:v>349601.6</c:v>
                </c:pt>
                <c:pt idx="12">
                  <c:v>342131.1</c:v>
                </c:pt>
                <c:pt idx="13">
                  <c:v>334655.2</c:v>
                </c:pt>
                <c:pt idx="14">
                  <c:v>327173.8</c:v>
                </c:pt>
                <c:pt idx="15">
                  <c:v>319687</c:v>
                </c:pt>
                <c:pt idx="16">
                  <c:v>312194.7</c:v>
                </c:pt>
                <c:pt idx="17">
                  <c:v>304775.2</c:v>
                </c:pt>
                <c:pt idx="18">
                  <c:v>297347</c:v>
                </c:pt>
                <c:pt idx="19">
                  <c:v>289909.90000000002</c:v>
                </c:pt>
                <c:pt idx="20">
                  <c:v>282464.2</c:v>
                </c:pt>
                <c:pt idx="21">
                  <c:v>275009.8</c:v>
                </c:pt>
                <c:pt idx="22">
                  <c:v>260576.9</c:v>
                </c:pt>
                <c:pt idx="23">
                  <c:v>246135.1</c:v>
                </c:pt>
                <c:pt idx="24">
                  <c:v>231684.2</c:v>
                </c:pt>
                <c:pt idx="25">
                  <c:v>217224.2</c:v>
                </c:pt>
                <c:pt idx="26">
                  <c:v>202755.3</c:v>
                </c:pt>
                <c:pt idx="27">
                  <c:v>188230.8</c:v>
                </c:pt>
                <c:pt idx="28">
                  <c:v>173702.8</c:v>
                </c:pt>
                <c:pt idx="29">
                  <c:v>159171.20000000001</c:v>
                </c:pt>
                <c:pt idx="30">
                  <c:v>144636.20000000001</c:v>
                </c:pt>
                <c:pt idx="31">
                  <c:v>130097.7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90-49B5-9020-316DA754F2E2}"/>
            </c:ext>
          </c:extLst>
        </c:ser>
        <c:ser>
          <c:idx val="5"/>
          <c:order val="5"/>
          <c:tx>
            <c:strRef>
              <c:f>'Total Emissions'!$B$103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Emissions'!$C$103:$AH$103</c:f>
              <c:numCache>
                <c:formatCode>General</c:formatCode>
                <c:ptCount val="32"/>
                <c:pt idx="0">
                  <c:v>7872484</c:v>
                </c:pt>
                <c:pt idx="1">
                  <c:v>7872484</c:v>
                </c:pt>
                <c:pt idx="2">
                  <c:v>7785012</c:v>
                </c:pt>
                <c:pt idx="3">
                  <c:v>7697540</c:v>
                </c:pt>
                <c:pt idx="4">
                  <c:v>7610068</c:v>
                </c:pt>
                <c:pt idx="5">
                  <c:v>7522596</c:v>
                </c:pt>
                <c:pt idx="6">
                  <c:v>7435124</c:v>
                </c:pt>
                <c:pt idx="7">
                  <c:v>7347652</c:v>
                </c:pt>
                <c:pt idx="8">
                  <c:v>7260180</c:v>
                </c:pt>
                <c:pt idx="9">
                  <c:v>7172708</c:v>
                </c:pt>
                <c:pt idx="10">
                  <c:v>7085236</c:v>
                </c:pt>
                <c:pt idx="11">
                  <c:v>6997764</c:v>
                </c:pt>
                <c:pt idx="12">
                  <c:v>6910292</c:v>
                </c:pt>
                <c:pt idx="13">
                  <c:v>6822820</c:v>
                </c:pt>
                <c:pt idx="14">
                  <c:v>6735348</c:v>
                </c:pt>
                <c:pt idx="15">
                  <c:v>6647876</c:v>
                </c:pt>
                <c:pt idx="16">
                  <c:v>6560404</c:v>
                </c:pt>
                <c:pt idx="17">
                  <c:v>6472932</c:v>
                </c:pt>
                <c:pt idx="18">
                  <c:v>6385459</c:v>
                </c:pt>
                <c:pt idx="19">
                  <c:v>6297988</c:v>
                </c:pt>
                <c:pt idx="20">
                  <c:v>6297988</c:v>
                </c:pt>
                <c:pt idx="21">
                  <c:v>6297988</c:v>
                </c:pt>
                <c:pt idx="22">
                  <c:v>6297988</c:v>
                </c:pt>
                <c:pt idx="23">
                  <c:v>6297988</c:v>
                </c:pt>
                <c:pt idx="24">
                  <c:v>6297988</c:v>
                </c:pt>
                <c:pt idx="25">
                  <c:v>6297988</c:v>
                </c:pt>
                <c:pt idx="26">
                  <c:v>6297988</c:v>
                </c:pt>
                <c:pt idx="27">
                  <c:v>6297988</c:v>
                </c:pt>
                <c:pt idx="28">
                  <c:v>6297988</c:v>
                </c:pt>
                <c:pt idx="29">
                  <c:v>6297988</c:v>
                </c:pt>
                <c:pt idx="30">
                  <c:v>6297988</c:v>
                </c:pt>
                <c:pt idx="31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90-49B5-9020-316DA754F2E2}"/>
            </c:ext>
          </c:extLst>
        </c:ser>
        <c:ser>
          <c:idx val="6"/>
          <c:order val="6"/>
          <c:tx>
            <c:strRef>
              <c:f>'Total Emissions'!$B$99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Emissions'!$C$99:$AH$99</c:f>
              <c:numCache>
                <c:formatCode>General</c:formatCode>
                <c:ptCount val="32"/>
                <c:pt idx="0">
                  <c:v>6884914.7750000004</c:v>
                </c:pt>
                <c:pt idx="1">
                  <c:v>6883513.2640000004</c:v>
                </c:pt>
                <c:pt idx="2">
                  <c:v>6879757.398</c:v>
                </c:pt>
                <c:pt idx="3">
                  <c:v>6876059.8399999999</c:v>
                </c:pt>
                <c:pt idx="4">
                  <c:v>6655552.7190000014</c:v>
                </c:pt>
                <c:pt idx="5">
                  <c:v>6434653.6670000004</c:v>
                </c:pt>
                <c:pt idx="6">
                  <c:v>6212958.801</c:v>
                </c:pt>
                <c:pt idx="7">
                  <c:v>5994820.9959999993</c:v>
                </c:pt>
                <c:pt idx="8">
                  <c:v>5776532.6599999992</c:v>
                </c:pt>
                <c:pt idx="9">
                  <c:v>5557766.3319999985</c:v>
                </c:pt>
                <c:pt idx="10">
                  <c:v>5338291.7369999997</c:v>
                </c:pt>
                <c:pt idx="11">
                  <c:v>5113836.7466000002</c:v>
                </c:pt>
                <c:pt idx="12">
                  <c:v>5009839.4435999999</c:v>
                </c:pt>
                <c:pt idx="13">
                  <c:v>4905465.1565999994</c:v>
                </c:pt>
                <c:pt idx="14">
                  <c:v>4801315.1476999996</c:v>
                </c:pt>
                <c:pt idx="15">
                  <c:v>4697920.8078000015</c:v>
                </c:pt>
                <c:pt idx="16">
                  <c:v>4596061.8108000001</c:v>
                </c:pt>
                <c:pt idx="17">
                  <c:v>4499368.9748</c:v>
                </c:pt>
                <c:pt idx="18">
                  <c:v>4403810.1129000001</c:v>
                </c:pt>
                <c:pt idx="19">
                  <c:v>4309202.5329</c:v>
                </c:pt>
                <c:pt idx="20">
                  <c:v>4215320.6499999994</c:v>
                </c:pt>
                <c:pt idx="21">
                  <c:v>4121942.398</c:v>
                </c:pt>
                <c:pt idx="22">
                  <c:v>3935231.1819000002</c:v>
                </c:pt>
                <c:pt idx="23">
                  <c:v>3748865.1858000001</c:v>
                </c:pt>
                <c:pt idx="24">
                  <c:v>3562726.2897000001</c:v>
                </c:pt>
                <c:pt idx="25">
                  <c:v>3376712.1762000001</c:v>
                </c:pt>
                <c:pt idx="26">
                  <c:v>3190327.1823</c:v>
                </c:pt>
                <c:pt idx="27">
                  <c:v>3002010.9024999999</c:v>
                </c:pt>
                <c:pt idx="28">
                  <c:v>2813732.2839000002</c:v>
                </c:pt>
                <c:pt idx="29">
                  <c:v>2625401.8670999999</c:v>
                </c:pt>
                <c:pt idx="30">
                  <c:v>2436972.1433999999</c:v>
                </c:pt>
                <c:pt idx="31">
                  <c:v>2248421.5673000002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90-49B5-9020-316DA754F2E2}"/>
            </c:ext>
          </c:extLst>
        </c:ser>
        <c:ser>
          <c:idx val="7"/>
          <c:order val="7"/>
          <c:tx>
            <c:strRef>
              <c:f>'Total Emissions'!$B$105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Emissions'!$C$105:$AH$105</c:f>
              <c:numCache>
                <c:formatCode>General</c:formatCode>
                <c:ptCount val="32"/>
                <c:pt idx="0">
                  <c:v>5790901</c:v>
                </c:pt>
                <c:pt idx="1">
                  <c:v>5790901</c:v>
                </c:pt>
                <c:pt idx="2">
                  <c:v>5790901</c:v>
                </c:pt>
                <c:pt idx="3">
                  <c:v>5790901</c:v>
                </c:pt>
                <c:pt idx="4">
                  <c:v>5790901</c:v>
                </c:pt>
                <c:pt idx="5">
                  <c:v>5790901</c:v>
                </c:pt>
                <c:pt idx="6">
                  <c:v>5790901</c:v>
                </c:pt>
                <c:pt idx="7">
                  <c:v>5790901</c:v>
                </c:pt>
                <c:pt idx="8">
                  <c:v>5790901</c:v>
                </c:pt>
                <c:pt idx="9">
                  <c:v>5790901</c:v>
                </c:pt>
                <c:pt idx="10">
                  <c:v>5790901</c:v>
                </c:pt>
                <c:pt idx="11">
                  <c:v>5790901</c:v>
                </c:pt>
                <c:pt idx="12">
                  <c:v>5790901</c:v>
                </c:pt>
                <c:pt idx="13">
                  <c:v>5790901</c:v>
                </c:pt>
                <c:pt idx="14">
                  <c:v>5790901</c:v>
                </c:pt>
                <c:pt idx="15">
                  <c:v>5790901</c:v>
                </c:pt>
                <c:pt idx="16">
                  <c:v>5790901</c:v>
                </c:pt>
                <c:pt idx="17">
                  <c:v>5790901</c:v>
                </c:pt>
                <c:pt idx="18">
                  <c:v>5790901</c:v>
                </c:pt>
                <c:pt idx="19">
                  <c:v>5790901</c:v>
                </c:pt>
                <c:pt idx="20">
                  <c:v>5790901</c:v>
                </c:pt>
                <c:pt idx="21">
                  <c:v>5790901</c:v>
                </c:pt>
                <c:pt idx="22">
                  <c:v>5790901</c:v>
                </c:pt>
                <c:pt idx="23">
                  <c:v>5790901</c:v>
                </c:pt>
                <c:pt idx="24">
                  <c:v>5790901</c:v>
                </c:pt>
                <c:pt idx="25">
                  <c:v>5790901</c:v>
                </c:pt>
                <c:pt idx="26">
                  <c:v>5790901</c:v>
                </c:pt>
                <c:pt idx="27">
                  <c:v>5790901</c:v>
                </c:pt>
                <c:pt idx="28">
                  <c:v>5790901</c:v>
                </c:pt>
                <c:pt idx="29">
                  <c:v>5790901</c:v>
                </c:pt>
                <c:pt idx="30">
                  <c:v>5790901</c:v>
                </c:pt>
                <c:pt idx="3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90-49B5-9020-316DA754F2E2}"/>
            </c:ext>
          </c:extLst>
        </c:ser>
        <c:ser>
          <c:idx val="8"/>
          <c:order val="8"/>
          <c:tx>
            <c:strRef>
              <c:f>'Total Emissions'!$B$106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Emissions'!$C$106:$AH$106</c:f>
              <c:numCache>
                <c:formatCode>General</c:formatCode>
                <c:ptCount val="32"/>
                <c:pt idx="0">
                  <c:v>3801677</c:v>
                </c:pt>
                <c:pt idx="1">
                  <c:v>3801677</c:v>
                </c:pt>
                <c:pt idx="2">
                  <c:v>3801677</c:v>
                </c:pt>
                <c:pt idx="3">
                  <c:v>3801677</c:v>
                </c:pt>
                <c:pt idx="4">
                  <c:v>3801677</c:v>
                </c:pt>
                <c:pt idx="5">
                  <c:v>3801677</c:v>
                </c:pt>
                <c:pt idx="6">
                  <c:v>3801677</c:v>
                </c:pt>
                <c:pt idx="7">
                  <c:v>3801677</c:v>
                </c:pt>
                <c:pt idx="8">
                  <c:v>3801677</c:v>
                </c:pt>
                <c:pt idx="9">
                  <c:v>3801677</c:v>
                </c:pt>
                <c:pt idx="10">
                  <c:v>3801677</c:v>
                </c:pt>
                <c:pt idx="11">
                  <c:v>3801677</c:v>
                </c:pt>
                <c:pt idx="12">
                  <c:v>3801677</c:v>
                </c:pt>
                <c:pt idx="13">
                  <c:v>3801677</c:v>
                </c:pt>
                <c:pt idx="14">
                  <c:v>3801677</c:v>
                </c:pt>
                <c:pt idx="15">
                  <c:v>3801677</c:v>
                </c:pt>
                <c:pt idx="16">
                  <c:v>3801677</c:v>
                </c:pt>
                <c:pt idx="17">
                  <c:v>3801677</c:v>
                </c:pt>
                <c:pt idx="18">
                  <c:v>3801677</c:v>
                </c:pt>
                <c:pt idx="19">
                  <c:v>3801677</c:v>
                </c:pt>
                <c:pt idx="20">
                  <c:v>3801677</c:v>
                </c:pt>
                <c:pt idx="21">
                  <c:v>3801677</c:v>
                </c:pt>
                <c:pt idx="22">
                  <c:v>3801677</c:v>
                </c:pt>
                <c:pt idx="23">
                  <c:v>3801677</c:v>
                </c:pt>
                <c:pt idx="24">
                  <c:v>3801677</c:v>
                </c:pt>
                <c:pt idx="25">
                  <c:v>3801677</c:v>
                </c:pt>
                <c:pt idx="26">
                  <c:v>3801677</c:v>
                </c:pt>
                <c:pt idx="27">
                  <c:v>3801677</c:v>
                </c:pt>
                <c:pt idx="28">
                  <c:v>3801677</c:v>
                </c:pt>
                <c:pt idx="29">
                  <c:v>3801677</c:v>
                </c:pt>
                <c:pt idx="30">
                  <c:v>3801677</c:v>
                </c:pt>
                <c:pt idx="31">
                  <c:v>3801677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90-49B5-9020-316DA754F2E2}"/>
            </c:ext>
          </c:extLst>
        </c:ser>
        <c:ser>
          <c:idx val="9"/>
          <c:order val="9"/>
          <c:tx>
            <c:strRef>
              <c:f>'Total Emissions'!$B$107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Emissions'!$C$107:$AH$107</c:f>
              <c:numCache>
                <c:formatCode>General</c:formatCode>
                <c:ptCount val="32"/>
                <c:pt idx="0">
                  <c:v>729368.12510000006</c:v>
                </c:pt>
                <c:pt idx="1">
                  <c:v>728736.72509999992</c:v>
                </c:pt>
                <c:pt idx="2">
                  <c:v>727243.82510000002</c:v>
                </c:pt>
                <c:pt idx="3">
                  <c:v>724871.52510000009</c:v>
                </c:pt>
                <c:pt idx="4">
                  <c:v>694258.40379999997</c:v>
                </c:pt>
                <c:pt idx="5">
                  <c:v>659155.88159999996</c:v>
                </c:pt>
                <c:pt idx="6">
                  <c:v>626734.06039999996</c:v>
                </c:pt>
                <c:pt idx="7">
                  <c:v>592089.93819999998</c:v>
                </c:pt>
                <c:pt idx="8">
                  <c:v>558057.11600000004</c:v>
                </c:pt>
                <c:pt idx="9">
                  <c:v>524425.89480000001</c:v>
                </c:pt>
                <c:pt idx="10">
                  <c:v>489439.17259999999</c:v>
                </c:pt>
                <c:pt idx="11">
                  <c:v>455836.0514</c:v>
                </c:pt>
                <c:pt idx="12">
                  <c:v>434052.41239999997</c:v>
                </c:pt>
                <c:pt idx="13">
                  <c:v>412280.5134</c:v>
                </c:pt>
                <c:pt idx="14">
                  <c:v>390984.55540000001</c:v>
                </c:pt>
                <c:pt idx="15">
                  <c:v>370304.48749999999</c:v>
                </c:pt>
                <c:pt idx="16">
                  <c:v>352905.2585</c:v>
                </c:pt>
                <c:pt idx="17">
                  <c:v>336687.34950000001</c:v>
                </c:pt>
                <c:pt idx="18">
                  <c:v>321843.66149999999</c:v>
                </c:pt>
                <c:pt idx="19">
                  <c:v>308170.95250000001</c:v>
                </c:pt>
                <c:pt idx="20">
                  <c:v>295138.22460000002</c:v>
                </c:pt>
                <c:pt idx="21">
                  <c:v>283605.04560000001</c:v>
                </c:pt>
                <c:pt idx="22">
                  <c:v>264373.78899999999</c:v>
                </c:pt>
                <c:pt idx="23">
                  <c:v>245921.91140000001</c:v>
                </c:pt>
                <c:pt idx="24">
                  <c:v>228147.88389999999</c:v>
                </c:pt>
                <c:pt idx="25">
                  <c:v>210797.29730000001</c:v>
                </c:pt>
                <c:pt idx="26">
                  <c:v>194227.99974999999</c:v>
                </c:pt>
                <c:pt idx="27">
                  <c:v>177738.11317999999</c:v>
                </c:pt>
                <c:pt idx="28">
                  <c:v>161489.71562</c:v>
                </c:pt>
                <c:pt idx="29">
                  <c:v>145402.92835</c:v>
                </c:pt>
                <c:pt idx="30">
                  <c:v>129377.80119</c:v>
                </c:pt>
                <c:pt idx="31">
                  <c:v>113566.23302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90-49B5-9020-316DA754F2E2}"/>
            </c:ext>
          </c:extLst>
        </c:ser>
        <c:ser>
          <c:idx val="10"/>
          <c:order val="10"/>
          <c:tx>
            <c:strRef>
              <c:f>'Total Emissions'!$B$109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Emissions'!$C$109:$AH$109</c:f>
              <c:numCache>
                <c:formatCode>General</c:formatCode>
                <c:ptCount val="32"/>
                <c:pt idx="0">
                  <c:v>384783.25699999998</c:v>
                </c:pt>
                <c:pt idx="1">
                  <c:v>384263.35700000002</c:v>
                </c:pt>
                <c:pt idx="2">
                  <c:v>382126.15700000001</c:v>
                </c:pt>
                <c:pt idx="3">
                  <c:v>379132.75699999998</c:v>
                </c:pt>
                <c:pt idx="4">
                  <c:v>375428.95699999999</c:v>
                </c:pt>
                <c:pt idx="5">
                  <c:v>371349.65700000001</c:v>
                </c:pt>
                <c:pt idx="6">
                  <c:v>366534.65700000001</c:v>
                </c:pt>
                <c:pt idx="7">
                  <c:v>361594.45700000011</c:v>
                </c:pt>
                <c:pt idx="8">
                  <c:v>356385.85700000002</c:v>
                </c:pt>
                <c:pt idx="9">
                  <c:v>350594.95699999999</c:v>
                </c:pt>
                <c:pt idx="10">
                  <c:v>343869.25699999998</c:v>
                </c:pt>
                <c:pt idx="11">
                  <c:v>335590.65700000001</c:v>
                </c:pt>
                <c:pt idx="12">
                  <c:v>326335.35700000002</c:v>
                </c:pt>
                <c:pt idx="13">
                  <c:v>316313.45699999999</c:v>
                </c:pt>
                <c:pt idx="14">
                  <c:v>305950.84700000001</c:v>
                </c:pt>
                <c:pt idx="15">
                  <c:v>295685.12699999998</c:v>
                </c:pt>
                <c:pt idx="16">
                  <c:v>286521.19699999999</c:v>
                </c:pt>
                <c:pt idx="17">
                  <c:v>278664.13699999999</c:v>
                </c:pt>
                <c:pt idx="18">
                  <c:v>272036.647</c:v>
                </c:pt>
                <c:pt idx="19">
                  <c:v>266550.06699999998</c:v>
                </c:pt>
                <c:pt idx="20">
                  <c:v>262030.26699999999</c:v>
                </c:pt>
                <c:pt idx="21">
                  <c:v>258280.747</c:v>
                </c:pt>
                <c:pt idx="22">
                  <c:v>255028.91699999999</c:v>
                </c:pt>
                <c:pt idx="23">
                  <c:v>252263.07699999999</c:v>
                </c:pt>
                <c:pt idx="24">
                  <c:v>249956.867</c:v>
                </c:pt>
                <c:pt idx="25">
                  <c:v>248121.467</c:v>
                </c:pt>
                <c:pt idx="26">
                  <c:v>246754.747</c:v>
                </c:pt>
                <c:pt idx="27">
                  <c:v>245721.56700000001</c:v>
                </c:pt>
                <c:pt idx="28">
                  <c:v>244989.69699999999</c:v>
                </c:pt>
                <c:pt idx="29">
                  <c:v>244441.69699999999</c:v>
                </c:pt>
                <c:pt idx="30">
                  <c:v>243983.647</c:v>
                </c:pt>
                <c:pt idx="31">
                  <c:v>243564.07699999999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90-49B5-9020-316DA754F2E2}"/>
            </c:ext>
          </c:extLst>
        </c:ser>
        <c:ser>
          <c:idx val="11"/>
          <c:order val="11"/>
          <c:tx>
            <c:strRef>
              <c:f>'Total Emissions'!$B$100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Emissions'!$C$100:$AH$100</c:f>
              <c:numCache>
                <c:formatCode>General</c:formatCode>
                <c:ptCount val="32"/>
                <c:pt idx="0">
                  <c:v>221100.7</c:v>
                </c:pt>
                <c:pt idx="1">
                  <c:v>220935.7</c:v>
                </c:pt>
                <c:pt idx="2">
                  <c:v>220534.5</c:v>
                </c:pt>
                <c:pt idx="3">
                  <c:v>220004.6</c:v>
                </c:pt>
                <c:pt idx="4">
                  <c:v>219253.2</c:v>
                </c:pt>
                <c:pt idx="5">
                  <c:v>217058.8</c:v>
                </c:pt>
                <c:pt idx="6">
                  <c:v>215924.1</c:v>
                </c:pt>
                <c:pt idx="7">
                  <c:v>213883.7</c:v>
                </c:pt>
                <c:pt idx="8">
                  <c:v>211791.7</c:v>
                </c:pt>
                <c:pt idx="9">
                  <c:v>209578.8</c:v>
                </c:pt>
                <c:pt idx="10">
                  <c:v>206295.4</c:v>
                </c:pt>
                <c:pt idx="11">
                  <c:v>155291</c:v>
                </c:pt>
                <c:pt idx="12">
                  <c:v>151821.9</c:v>
                </c:pt>
                <c:pt idx="13">
                  <c:v>148185.4</c:v>
                </c:pt>
                <c:pt idx="14">
                  <c:v>144511.20000000001</c:v>
                </c:pt>
                <c:pt idx="15">
                  <c:v>140515.5</c:v>
                </c:pt>
                <c:pt idx="16">
                  <c:v>138375.4</c:v>
                </c:pt>
                <c:pt idx="17">
                  <c:v>136144.5</c:v>
                </c:pt>
                <c:pt idx="18">
                  <c:v>134210</c:v>
                </c:pt>
                <c:pt idx="19">
                  <c:v>132531.29999999999</c:v>
                </c:pt>
                <c:pt idx="20">
                  <c:v>130636.6</c:v>
                </c:pt>
                <c:pt idx="21">
                  <c:v>129800.7</c:v>
                </c:pt>
                <c:pt idx="22">
                  <c:v>128644.2</c:v>
                </c:pt>
                <c:pt idx="23">
                  <c:v>127618.2</c:v>
                </c:pt>
                <c:pt idx="24">
                  <c:v>126716.9</c:v>
                </c:pt>
                <c:pt idx="25">
                  <c:v>125484.8</c:v>
                </c:pt>
                <c:pt idx="26">
                  <c:v>113202.6</c:v>
                </c:pt>
                <c:pt idx="27">
                  <c:v>112612.1</c:v>
                </c:pt>
                <c:pt idx="28">
                  <c:v>112092</c:v>
                </c:pt>
                <c:pt idx="29">
                  <c:v>111614.3</c:v>
                </c:pt>
                <c:pt idx="30">
                  <c:v>110694.5</c:v>
                </c:pt>
                <c:pt idx="31">
                  <c:v>110713.5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90-49B5-9020-316DA754F2E2}"/>
            </c:ext>
          </c:extLst>
        </c:ser>
        <c:ser>
          <c:idx val="12"/>
          <c:order val="12"/>
          <c:tx>
            <c:strRef>
              <c:f>'Total Emissions'!$B$108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Emissions'!$C$108:$AH$108</c:f>
              <c:numCache>
                <c:formatCode>General</c:formatCode>
                <c:ptCount val="32"/>
                <c:pt idx="0">
                  <c:v>147.99354122</c:v>
                </c:pt>
                <c:pt idx="1">
                  <c:v>147.99354106000001</c:v>
                </c:pt>
                <c:pt idx="2">
                  <c:v>165.63337096999999</c:v>
                </c:pt>
                <c:pt idx="3">
                  <c:v>183.27311154</c:v>
                </c:pt>
                <c:pt idx="4">
                  <c:v>200.91284121999999</c:v>
                </c:pt>
                <c:pt idx="5">
                  <c:v>218.55267124</c:v>
                </c:pt>
                <c:pt idx="6">
                  <c:v>236.19250099000001</c:v>
                </c:pt>
                <c:pt idx="7">
                  <c:v>253.83224114000001</c:v>
                </c:pt>
                <c:pt idx="8">
                  <c:v>271.47194103999999</c:v>
                </c:pt>
                <c:pt idx="9">
                  <c:v>289.11184166999999</c:v>
                </c:pt>
                <c:pt idx="10">
                  <c:v>306.75164160000003</c:v>
                </c:pt>
                <c:pt idx="11">
                  <c:v>324.39134119999989</c:v>
                </c:pt>
                <c:pt idx="12">
                  <c:v>342.03114140000002</c:v>
                </c:pt>
                <c:pt idx="13">
                  <c:v>359.67094100000003</c:v>
                </c:pt>
                <c:pt idx="14">
                  <c:v>377.31074169999999</c:v>
                </c:pt>
                <c:pt idx="15">
                  <c:v>394.95054110000001</c:v>
                </c:pt>
                <c:pt idx="16">
                  <c:v>412.5902418</c:v>
                </c:pt>
                <c:pt idx="17">
                  <c:v>430.23004179999998</c:v>
                </c:pt>
                <c:pt idx="18">
                  <c:v>447.86994099999998</c:v>
                </c:pt>
                <c:pt idx="19">
                  <c:v>465.50964110000001</c:v>
                </c:pt>
                <c:pt idx="20">
                  <c:v>465.50964110000001</c:v>
                </c:pt>
                <c:pt idx="21">
                  <c:v>465.50964169999997</c:v>
                </c:pt>
                <c:pt idx="22">
                  <c:v>465.50964169999997</c:v>
                </c:pt>
                <c:pt idx="23">
                  <c:v>465.50964149999999</c:v>
                </c:pt>
                <c:pt idx="24">
                  <c:v>465.5096418</c:v>
                </c:pt>
                <c:pt idx="25">
                  <c:v>465.5096418</c:v>
                </c:pt>
                <c:pt idx="26">
                  <c:v>465.50964169999997</c:v>
                </c:pt>
                <c:pt idx="27">
                  <c:v>465.50964110000001</c:v>
                </c:pt>
                <c:pt idx="28">
                  <c:v>465.5096413</c:v>
                </c:pt>
                <c:pt idx="29">
                  <c:v>465.50964190000002</c:v>
                </c:pt>
                <c:pt idx="30">
                  <c:v>465.50964140000002</c:v>
                </c:pt>
                <c:pt idx="31">
                  <c:v>465.5096413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90-49B5-9020-316DA754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80001"/>
        <c:axId val="50180002"/>
      </c:areaChart>
      <c:catAx>
        <c:axId val="501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80002"/>
        <c:crosses val="autoZero"/>
        <c:auto val="1"/>
        <c:lblAlgn val="ctr"/>
        <c:lblOffset val="100"/>
        <c:tickLblSkip val="2"/>
        <c:noMultiLvlLbl val="0"/>
      </c:catAx>
      <c:valAx>
        <c:axId val="501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8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Emissions'!$B$101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Emissions'!$C$101,'Total Emissions'!$AH$101)</c:f>
              <c:numCache>
                <c:formatCode>General</c:formatCode>
                <c:ptCount val="2"/>
                <c:pt idx="0">
                  <c:v>24286310</c:v>
                </c:pt>
                <c:pt idx="1">
                  <c:v>215622.3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7-4CC4-9F50-BC7DF1DD168A}"/>
            </c:ext>
          </c:extLst>
        </c:ser>
        <c:ser>
          <c:idx val="1"/>
          <c:order val="1"/>
          <c:tx>
            <c:strRef>
              <c:f>'Total Emissions'!$B$104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Emissions'!$C$104,'Total Emissions'!$AH$104)</c:f>
              <c:numCache>
                <c:formatCode>General</c:formatCode>
                <c:ptCount val="2"/>
                <c:pt idx="0">
                  <c:v>21637454.120000001</c:v>
                </c:pt>
                <c:pt idx="1">
                  <c:v>2531835.8986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7-4CC4-9F50-BC7DF1DD168A}"/>
            </c:ext>
          </c:extLst>
        </c:ser>
        <c:ser>
          <c:idx val="2"/>
          <c:order val="2"/>
          <c:tx>
            <c:strRef>
              <c:f>'Total Emissions'!$B$98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Emissions'!$C$98,'Total Emissions'!$AH$98)</c:f>
              <c:numCache>
                <c:formatCode>General</c:formatCode>
                <c:ptCount val="2"/>
                <c:pt idx="0">
                  <c:v>16213790</c:v>
                </c:pt>
                <c:pt idx="1">
                  <c:v>4833335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7-4CC4-9F50-BC7DF1DD168A}"/>
            </c:ext>
          </c:extLst>
        </c:ser>
        <c:ser>
          <c:idx val="3"/>
          <c:order val="3"/>
          <c:tx>
            <c:strRef>
              <c:f>'Total Emissions'!$B$102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Emissions'!$C$102,'Total Emissions'!$AH$102)</c:f>
              <c:numCache>
                <c:formatCode>General</c:formatCode>
                <c:ptCount val="2"/>
                <c:pt idx="0">
                  <c:v>9786438.5133999996</c:v>
                </c:pt>
                <c:pt idx="1">
                  <c:v>754749.65899999999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C7-4CC4-9F50-BC7DF1DD168A}"/>
            </c:ext>
          </c:extLst>
        </c:ser>
        <c:ser>
          <c:idx val="4"/>
          <c:order val="4"/>
          <c:tx>
            <c:strRef>
              <c:f>'Total Emissions'!$B$97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Emissions'!$C$97,'Total Emissions'!$AH$97)</c:f>
              <c:numCache>
                <c:formatCode>General</c:formatCode>
                <c:ptCount val="2"/>
                <c:pt idx="0">
                  <c:v>8510024.0999999996</c:v>
                </c:pt>
                <c:pt idx="1">
                  <c:v>130097.7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C7-4CC4-9F50-BC7DF1DD168A}"/>
            </c:ext>
          </c:extLst>
        </c:ser>
        <c:ser>
          <c:idx val="5"/>
          <c:order val="5"/>
          <c:tx>
            <c:strRef>
              <c:f>'Total Emissions'!$B$103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Emissions'!$C$103,'Total Emissions'!$AH$103)</c:f>
              <c:numCache>
                <c:formatCode>General</c:formatCode>
                <c:ptCount val="2"/>
                <c:pt idx="0">
                  <c:v>7872484</c:v>
                </c:pt>
                <c:pt idx="1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C7-4CC4-9F50-BC7DF1DD168A}"/>
            </c:ext>
          </c:extLst>
        </c:ser>
        <c:ser>
          <c:idx val="6"/>
          <c:order val="6"/>
          <c:tx>
            <c:strRef>
              <c:f>'Total Emissions'!$B$99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Emissions'!$C$99,'Total Emissions'!$AH$99)</c:f>
              <c:numCache>
                <c:formatCode>General</c:formatCode>
                <c:ptCount val="2"/>
                <c:pt idx="0">
                  <c:v>6884914.7750000004</c:v>
                </c:pt>
                <c:pt idx="1">
                  <c:v>2248421.5673000002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C7-4CC4-9F50-BC7DF1DD168A}"/>
            </c:ext>
          </c:extLst>
        </c:ser>
        <c:ser>
          <c:idx val="7"/>
          <c:order val="7"/>
          <c:tx>
            <c:strRef>
              <c:f>'Total Emissions'!$B$105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Emissions'!$C$105,'Total Emissions'!$AH$105)</c:f>
              <c:numCache>
                <c:formatCode>General</c:formatCode>
                <c:ptCount val="2"/>
                <c:pt idx="0">
                  <c:v>5790901</c:v>
                </c:pt>
                <c:pt idx="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C7-4CC4-9F50-BC7DF1DD168A}"/>
            </c:ext>
          </c:extLst>
        </c:ser>
        <c:ser>
          <c:idx val="8"/>
          <c:order val="8"/>
          <c:tx>
            <c:strRef>
              <c:f>'Total Emissions'!$B$106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Emissions'!$C$106,'Total Emissions'!$AH$106)</c:f>
              <c:numCache>
                <c:formatCode>General</c:formatCode>
                <c:ptCount val="2"/>
                <c:pt idx="0">
                  <c:v>3801677</c:v>
                </c:pt>
                <c:pt idx="1">
                  <c:v>3801677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C7-4CC4-9F50-BC7DF1DD168A}"/>
            </c:ext>
          </c:extLst>
        </c:ser>
        <c:ser>
          <c:idx val="9"/>
          <c:order val="9"/>
          <c:tx>
            <c:strRef>
              <c:f>'Total Emissions'!$B$107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Emissions'!$C$107,'Total Emissions'!$AH$107)</c:f>
              <c:numCache>
                <c:formatCode>General</c:formatCode>
                <c:ptCount val="2"/>
                <c:pt idx="0">
                  <c:v>729368.12510000006</c:v>
                </c:pt>
                <c:pt idx="1">
                  <c:v>113566.23302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C7-4CC4-9F50-BC7DF1DD168A}"/>
            </c:ext>
          </c:extLst>
        </c:ser>
        <c:ser>
          <c:idx val="10"/>
          <c:order val="10"/>
          <c:tx>
            <c:strRef>
              <c:f>'Total Emissions'!$B$109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Emissions'!$C$109,'Total Emissions'!$AH$109)</c:f>
              <c:numCache>
                <c:formatCode>General</c:formatCode>
                <c:ptCount val="2"/>
                <c:pt idx="0">
                  <c:v>384783.25699999998</c:v>
                </c:pt>
                <c:pt idx="1">
                  <c:v>243564.07699999999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C7-4CC4-9F50-BC7DF1DD168A}"/>
            </c:ext>
          </c:extLst>
        </c:ser>
        <c:ser>
          <c:idx val="11"/>
          <c:order val="11"/>
          <c:tx>
            <c:strRef>
              <c:f>'Total Emissions'!$B$100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Emissions'!$C$100,'Total Emissions'!$AH$100)</c:f>
              <c:numCache>
                <c:formatCode>General</c:formatCode>
                <c:ptCount val="2"/>
                <c:pt idx="0">
                  <c:v>221100.7</c:v>
                </c:pt>
                <c:pt idx="1">
                  <c:v>110713.5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8C7-4CC4-9F50-BC7DF1DD168A}"/>
            </c:ext>
          </c:extLst>
        </c:ser>
        <c:ser>
          <c:idx val="12"/>
          <c:order val="12"/>
          <c:tx>
            <c:strRef>
              <c:f>'Total Emissions'!$B$108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Emissions'!$C$108,'Total Emissions'!$AH$108)</c:f>
              <c:numCache>
                <c:formatCode>General</c:formatCode>
                <c:ptCount val="2"/>
                <c:pt idx="0">
                  <c:v>147.99354122</c:v>
                </c:pt>
                <c:pt idx="1">
                  <c:v>465.5096413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C7-4CC4-9F50-BC7DF1DD1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190001"/>
        <c:axId val="50190002"/>
      </c:barChart>
      <c:catAx>
        <c:axId val="501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90002"/>
        <c:crosses val="autoZero"/>
        <c:auto val="1"/>
        <c:lblAlgn val="ctr"/>
        <c:lblOffset val="100"/>
        <c:noMultiLvlLbl val="0"/>
      </c:catAx>
      <c:valAx>
        <c:axId val="501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19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Emissions'!$B$18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Emissions'!$C$18:$AH$18</c:f>
              <c:numCache>
                <c:formatCode>General</c:formatCode>
                <c:ptCount val="32"/>
                <c:pt idx="0">
                  <c:v>48408352.039399996</c:v>
                </c:pt>
                <c:pt idx="1">
                  <c:v>47685909.627999999</c:v>
                </c:pt>
                <c:pt idx="2">
                  <c:v>45955442.520829998</c:v>
                </c:pt>
                <c:pt idx="3">
                  <c:v>44056961.305569999</c:v>
                </c:pt>
                <c:pt idx="4">
                  <c:v>42256052.9353</c:v>
                </c:pt>
                <c:pt idx="5">
                  <c:v>40091972.225129999</c:v>
                </c:pt>
                <c:pt idx="6">
                  <c:v>36749751.784960002</c:v>
                </c:pt>
                <c:pt idx="7">
                  <c:v>34334312.174699999</c:v>
                </c:pt>
                <c:pt idx="8">
                  <c:v>31852368.014400002</c:v>
                </c:pt>
                <c:pt idx="9">
                  <c:v>29356626.460299999</c:v>
                </c:pt>
                <c:pt idx="10">
                  <c:v>26950984.498100001</c:v>
                </c:pt>
                <c:pt idx="11">
                  <c:v>24787913.1668</c:v>
                </c:pt>
                <c:pt idx="12">
                  <c:v>22875626.855599999</c:v>
                </c:pt>
                <c:pt idx="13">
                  <c:v>21148645.843400002</c:v>
                </c:pt>
                <c:pt idx="14">
                  <c:v>19531516.282200001</c:v>
                </c:pt>
                <c:pt idx="15">
                  <c:v>17833175.201000001</c:v>
                </c:pt>
                <c:pt idx="16">
                  <c:v>16330667.2797</c:v>
                </c:pt>
                <c:pt idx="17">
                  <c:v>15324429.0875</c:v>
                </c:pt>
                <c:pt idx="18">
                  <c:v>14326478.736400001</c:v>
                </c:pt>
                <c:pt idx="19">
                  <c:v>13370632.575099999</c:v>
                </c:pt>
                <c:pt idx="20">
                  <c:v>12651457.4551</c:v>
                </c:pt>
                <c:pt idx="21">
                  <c:v>11989401.065099999</c:v>
                </c:pt>
                <c:pt idx="22">
                  <c:v>11511487.0251</c:v>
                </c:pt>
                <c:pt idx="23">
                  <c:v>11068737.3751</c:v>
                </c:pt>
                <c:pt idx="24">
                  <c:v>10671702.565099999</c:v>
                </c:pt>
                <c:pt idx="25">
                  <c:v>10323009.565099999</c:v>
                </c:pt>
                <c:pt idx="26">
                  <c:v>10018292.3651</c:v>
                </c:pt>
                <c:pt idx="27">
                  <c:v>9773125.1051000003</c:v>
                </c:pt>
                <c:pt idx="28">
                  <c:v>9566534.1250999998</c:v>
                </c:pt>
                <c:pt idx="29">
                  <c:v>9392707.1151000001</c:v>
                </c:pt>
                <c:pt idx="30">
                  <c:v>9244892.7150999997</c:v>
                </c:pt>
                <c:pt idx="31">
                  <c:v>9114330.6951000001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C-41EE-B093-5C9E73385668}"/>
            </c:ext>
          </c:extLst>
        </c:ser>
        <c:ser>
          <c:idx val="1"/>
          <c:order val="1"/>
          <c:tx>
            <c:strRef>
              <c:f>'Total Emissions'!$B$16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Emissions'!$C$16:$AH$16</c:f>
              <c:numCache>
                <c:formatCode>General</c:formatCode>
                <c:ptCount val="32"/>
                <c:pt idx="0">
                  <c:v>20476927.013766222</c:v>
                </c:pt>
                <c:pt idx="1">
                  <c:v>20465967.58387506</c:v>
                </c:pt>
                <c:pt idx="2">
                  <c:v>20479194.553579979</c:v>
                </c:pt>
                <c:pt idx="3">
                  <c:v>20485880.303291529</c:v>
                </c:pt>
                <c:pt idx="4">
                  <c:v>20342635.343144681</c:v>
                </c:pt>
                <c:pt idx="5">
                  <c:v>20189616.885230631</c:v>
                </c:pt>
                <c:pt idx="6">
                  <c:v>18547500.21615437</c:v>
                </c:pt>
                <c:pt idx="7">
                  <c:v>18148534.588387251</c:v>
                </c:pt>
                <c:pt idx="8">
                  <c:v>17759811.030752301</c:v>
                </c:pt>
                <c:pt idx="9">
                  <c:v>17380477.953248698</c:v>
                </c:pt>
                <c:pt idx="10">
                  <c:v>17009921.477423299</c:v>
                </c:pt>
                <c:pt idx="11">
                  <c:v>16659233.350439901</c:v>
                </c:pt>
                <c:pt idx="12">
                  <c:v>16337464.324735301</c:v>
                </c:pt>
                <c:pt idx="13">
                  <c:v>16022250.269451</c:v>
                </c:pt>
                <c:pt idx="14">
                  <c:v>15713608.0146842</c:v>
                </c:pt>
                <c:pt idx="15">
                  <c:v>15411226.6912855</c:v>
                </c:pt>
                <c:pt idx="16">
                  <c:v>15117549.1859637</c:v>
                </c:pt>
                <c:pt idx="17">
                  <c:v>14843535.0421586</c:v>
                </c:pt>
                <c:pt idx="18">
                  <c:v>14574698.9893621</c:v>
                </c:pt>
                <c:pt idx="19">
                  <c:v>14310938.1879403</c:v>
                </c:pt>
                <c:pt idx="20">
                  <c:v>14052141.7991412</c:v>
                </c:pt>
                <c:pt idx="21">
                  <c:v>13799674.4808226</c:v>
                </c:pt>
                <c:pt idx="22">
                  <c:v>13550033.212841099</c:v>
                </c:pt>
                <c:pt idx="23">
                  <c:v>13304584.2547062</c:v>
                </c:pt>
                <c:pt idx="24">
                  <c:v>13062964.216193</c:v>
                </c:pt>
                <c:pt idx="25">
                  <c:v>12825011.7678512</c:v>
                </c:pt>
                <c:pt idx="26">
                  <c:v>12590339.114339899</c:v>
                </c:pt>
                <c:pt idx="27">
                  <c:v>12368038.4756747</c:v>
                </c:pt>
                <c:pt idx="28">
                  <c:v>12150794.5780077</c:v>
                </c:pt>
                <c:pt idx="29">
                  <c:v>11938421.5653405</c:v>
                </c:pt>
                <c:pt idx="30">
                  <c:v>11730733.2196707</c:v>
                </c:pt>
                <c:pt idx="31">
                  <c:v>11527533.6689987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C-41EE-B093-5C9E73385668}"/>
            </c:ext>
          </c:extLst>
        </c:ser>
        <c:ser>
          <c:idx val="2"/>
          <c:order val="2"/>
          <c:tx>
            <c:strRef>
              <c:f>'Total Emissions'!$B$14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Emissions'!$C$14:$AH$14</c:f>
              <c:numCache>
                <c:formatCode>General</c:formatCode>
                <c:ptCount val="32"/>
                <c:pt idx="0">
                  <c:v>18990147.210269999</c:v>
                </c:pt>
                <c:pt idx="1">
                  <c:v>18990145.210269999</c:v>
                </c:pt>
                <c:pt idx="2">
                  <c:v>18990120.503593002</c:v>
                </c:pt>
                <c:pt idx="3">
                  <c:v>18990096.074469998</c:v>
                </c:pt>
                <c:pt idx="4">
                  <c:v>18980316.92797</c:v>
                </c:pt>
                <c:pt idx="5">
                  <c:v>18969627.458870001</c:v>
                </c:pt>
                <c:pt idx="6">
                  <c:v>10838797.02847</c:v>
                </c:pt>
                <c:pt idx="7">
                  <c:v>10757021.03387</c:v>
                </c:pt>
                <c:pt idx="8">
                  <c:v>10676738.698969999</c:v>
                </c:pt>
                <c:pt idx="9">
                  <c:v>10597942.49327</c:v>
                </c:pt>
                <c:pt idx="10">
                  <c:v>10520668.534569999</c:v>
                </c:pt>
                <c:pt idx="11">
                  <c:v>5683925.8811699999</c:v>
                </c:pt>
                <c:pt idx="12">
                  <c:v>5609757.3335699998</c:v>
                </c:pt>
                <c:pt idx="13">
                  <c:v>5537134.5183700006</c:v>
                </c:pt>
                <c:pt idx="14">
                  <c:v>5466004.3233700003</c:v>
                </c:pt>
                <c:pt idx="15">
                  <c:v>5396311.9985699998</c:v>
                </c:pt>
                <c:pt idx="16">
                  <c:v>5328092.3457699995</c:v>
                </c:pt>
                <c:pt idx="17">
                  <c:v>5261795.5856699999</c:v>
                </c:pt>
                <c:pt idx="18">
                  <c:v>5196810.5170700001</c:v>
                </c:pt>
                <c:pt idx="19">
                  <c:v>5133082.6835700003</c:v>
                </c:pt>
                <c:pt idx="20">
                  <c:v>5070574.8768699998</c:v>
                </c:pt>
                <c:pt idx="21">
                  <c:v>5009308.5410700003</c:v>
                </c:pt>
                <c:pt idx="22">
                  <c:v>4949449.9881699998</c:v>
                </c:pt>
                <c:pt idx="23">
                  <c:v>4890645.0740700001</c:v>
                </c:pt>
                <c:pt idx="24">
                  <c:v>4832830.2583699999</c:v>
                </c:pt>
                <c:pt idx="25">
                  <c:v>4775967.3419700004</c:v>
                </c:pt>
                <c:pt idx="26">
                  <c:v>3529636.4448699998</c:v>
                </c:pt>
                <c:pt idx="27">
                  <c:v>3475442.8299699998</c:v>
                </c:pt>
                <c:pt idx="28">
                  <c:v>3422231.3514700001</c:v>
                </c:pt>
                <c:pt idx="29">
                  <c:v>3369969.0788699999</c:v>
                </c:pt>
                <c:pt idx="30">
                  <c:v>3318628.4207700002</c:v>
                </c:pt>
                <c:pt idx="31">
                  <c:v>3268153.3665700001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C-41EE-B093-5C9E73385668}"/>
            </c:ext>
          </c:extLst>
        </c:ser>
        <c:ser>
          <c:idx val="3"/>
          <c:order val="3"/>
          <c:tx>
            <c:strRef>
              <c:f>'Total Emissions'!$B$17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Emissions'!$C$17:$AH$17</c:f>
              <c:numCache>
                <c:formatCode>General</c:formatCode>
                <c:ptCount val="32"/>
                <c:pt idx="0">
                  <c:v>9744535.1999999993</c:v>
                </c:pt>
                <c:pt idx="1">
                  <c:v>9717586</c:v>
                </c:pt>
                <c:pt idx="2">
                  <c:v>9678923.5999999996</c:v>
                </c:pt>
                <c:pt idx="3">
                  <c:v>9620721</c:v>
                </c:pt>
                <c:pt idx="4">
                  <c:v>9369552.9000000004</c:v>
                </c:pt>
                <c:pt idx="5">
                  <c:v>9053383.4000000004</c:v>
                </c:pt>
                <c:pt idx="6">
                  <c:v>5991878.3399999999</c:v>
                </c:pt>
                <c:pt idx="7">
                  <c:v>5589695.0300000003</c:v>
                </c:pt>
                <c:pt idx="8">
                  <c:v>5174917.92</c:v>
                </c:pt>
                <c:pt idx="9">
                  <c:v>4734054.04</c:v>
                </c:pt>
                <c:pt idx="10">
                  <c:v>4257134.24</c:v>
                </c:pt>
                <c:pt idx="11">
                  <c:v>3748529.13</c:v>
                </c:pt>
                <c:pt idx="12">
                  <c:v>3250225.12</c:v>
                </c:pt>
                <c:pt idx="13">
                  <c:v>2753258.39</c:v>
                </c:pt>
                <c:pt idx="14">
                  <c:v>2283415.58</c:v>
                </c:pt>
                <c:pt idx="15">
                  <c:v>1857996.2</c:v>
                </c:pt>
                <c:pt idx="16">
                  <c:v>1489349.3</c:v>
                </c:pt>
                <c:pt idx="17">
                  <c:v>1186447.22</c:v>
                </c:pt>
                <c:pt idx="18">
                  <c:v>938190.23</c:v>
                </c:pt>
                <c:pt idx="19">
                  <c:v>740033.89</c:v>
                </c:pt>
                <c:pt idx="20">
                  <c:v>585984.451</c:v>
                </c:pt>
                <c:pt idx="21">
                  <c:v>467258.61700000003</c:v>
                </c:pt>
                <c:pt idx="22">
                  <c:v>394255.853</c:v>
                </c:pt>
                <c:pt idx="23">
                  <c:v>341774.05599999998</c:v>
                </c:pt>
                <c:pt idx="24">
                  <c:v>303347.59700000001</c:v>
                </c:pt>
                <c:pt idx="25">
                  <c:v>275401.71000000002</c:v>
                </c:pt>
                <c:pt idx="26">
                  <c:v>254140.55809999999</c:v>
                </c:pt>
                <c:pt idx="27">
                  <c:v>246235.92420000001</c:v>
                </c:pt>
                <c:pt idx="28">
                  <c:v>241252.62349999999</c:v>
                </c:pt>
                <c:pt idx="29">
                  <c:v>237823.91759999999</c:v>
                </c:pt>
                <c:pt idx="30">
                  <c:v>235428.55720000001</c:v>
                </c:pt>
                <c:pt idx="31">
                  <c:v>233459.9932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1C-41EE-B093-5C9E73385668}"/>
            </c:ext>
          </c:extLst>
        </c:ser>
        <c:ser>
          <c:idx val="4"/>
          <c:order val="4"/>
          <c:tx>
            <c:strRef>
              <c:f>'Total Emissions'!$B$13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Emissions'!$C$13:$AH$13</c:f>
              <c:numCache>
                <c:formatCode>General</c:formatCode>
                <c:ptCount val="32"/>
                <c:pt idx="0">
                  <c:v>7899613.5607049996</c:v>
                </c:pt>
                <c:pt idx="1">
                  <c:v>7863028.1495960001</c:v>
                </c:pt>
                <c:pt idx="2">
                  <c:v>7936790.7838909999</c:v>
                </c:pt>
                <c:pt idx="3">
                  <c:v>7994294.52618</c:v>
                </c:pt>
                <c:pt idx="4">
                  <c:v>7923276.185327</c:v>
                </c:pt>
                <c:pt idx="5">
                  <c:v>7618788.7852410004</c:v>
                </c:pt>
                <c:pt idx="6">
                  <c:v>4719578.6453170003</c:v>
                </c:pt>
                <c:pt idx="7">
                  <c:v>4451907.7490839995</c:v>
                </c:pt>
                <c:pt idx="8">
                  <c:v>4198069.0137189999</c:v>
                </c:pt>
                <c:pt idx="9">
                  <c:v>3956364.835223</c:v>
                </c:pt>
                <c:pt idx="10">
                  <c:v>3532272.5050479998</c:v>
                </c:pt>
                <c:pt idx="11">
                  <c:v>3232405.8430320001</c:v>
                </c:pt>
                <c:pt idx="12">
                  <c:v>2930086.531736</c:v>
                </c:pt>
                <c:pt idx="13">
                  <c:v>2637095.92802</c:v>
                </c:pt>
                <c:pt idx="14">
                  <c:v>2353864.3187870001</c:v>
                </c:pt>
                <c:pt idx="15">
                  <c:v>2052464.578186</c:v>
                </c:pt>
                <c:pt idx="16">
                  <c:v>1876507.198508</c:v>
                </c:pt>
                <c:pt idx="17">
                  <c:v>1689775.8163129999</c:v>
                </c:pt>
                <c:pt idx="18">
                  <c:v>1508339.8751089999</c:v>
                </c:pt>
                <c:pt idx="19">
                  <c:v>1333644.656531</c:v>
                </c:pt>
                <c:pt idx="20">
                  <c:v>1151412.93833</c:v>
                </c:pt>
                <c:pt idx="21">
                  <c:v>1015435.815649</c:v>
                </c:pt>
                <c:pt idx="22">
                  <c:v>992677.71162999992</c:v>
                </c:pt>
                <c:pt idx="23">
                  <c:v>969991.08976500004</c:v>
                </c:pt>
                <c:pt idx="24">
                  <c:v>947976.193279</c:v>
                </c:pt>
                <c:pt idx="25">
                  <c:v>919906.26662000001</c:v>
                </c:pt>
                <c:pt idx="26">
                  <c:v>915308.16613199993</c:v>
                </c:pt>
                <c:pt idx="27">
                  <c:v>909246.44979700004</c:v>
                </c:pt>
                <c:pt idx="28">
                  <c:v>903306.661464</c:v>
                </c:pt>
                <c:pt idx="29">
                  <c:v>897459.25313099998</c:v>
                </c:pt>
                <c:pt idx="30">
                  <c:v>880252.25080099993</c:v>
                </c:pt>
                <c:pt idx="31">
                  <c:v>886002.51347300003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1C-41EE-B093-5C9E73385668}"/>
            </c:ext>
          </c:extLst>
        </c:ser>
        <c:ser>
          <c:idx val="5"/>
          <c:order val="5"/>
          <c:tx>
            <c:strRef>
              <c:f>'Total Emissions'!$B$12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Emissions'!$C$12:$AH$12</c:f>
              <c:numCache>
                <c:formatCode>General</c:formatCode>
                <c:ptCount val="32"/>
                <c:pt idx="0">
                  <c:v>378717.85989999998</c:v>
                </c:pt>
                <c:pt idx="1">
                  <c:v>378717.85989999998</c:v>
                </c:pt>
                <c:pt idx="2">
                  <c:v>378710.09142930002</c:v>
                </c:pt>
                <c:pt idx="3">
                  <c:v>378702.40899600001</c:v>
                </c:pt>
                <c:pt idx="4">
                  <c:v>375720.24449999997</c:v>
                </c:pt>
                <c:pt idx="5">
                  <c:v>372516.33769999997</c:v>
                </c:pt>
                <c:pt idx="6">
                  <c:v>361354.89370000002</c:v>
                </c:pt>
                <c:pt idx="7">
                  <c:v>355071.94990000001</c:v>
                </c:pt>
                <c:pt idx="8">
                  <c:v>348591.12910000002</c:v>
                </c:pt>
                <c:pt idx="9">
                  <c:v>341931.21840000001</c:v>
                </c:pt>
                <c:pt idx="10">
                  <c:v>335125.83</c:v>
                </c:pt>
                <c:pt idx="11">
                  <c:v>328318.98300000001</c:v>
                </c:pt>
                <c:pt idx="12">
                  <c:v>321346.53480000002</c:v>
                </c:pt>
                <c:pt idx="13">
                  <c:v>314311.01569999999</c:v>
                </c:pt>
                <c:pt idx="14">
                  <c:v>307216.9583</c:v>
                </c:pt>
                <c:pt idx="15">
                  <c:v>300067.76899999997</c:v>
                </c:pt>
                <c:pt idx="16">
                  <c:v>292893.38559999998</c:v>
                </c:pt>
                <c:pt idx="17">
                  <c:v>285843.23419999989</c:v>
                </c:pt>
                <c:pt idx="18">
                  <c:v>278756.08370000002</c:v>
                </c:pt>
                <c:pt idx="19">
                  <c:v>271632.6029</c:v>
                </c:pt>
                <c:pt idx="20">
                  <c:v>264476.5465</c:v>
                </c:pt>
                <c:pt idx="21">
                  <c:v>257312.02359999999</c:v>
                </c:pt>
                <c:pt idx="22">
                  <c:v>250206.70850000001</c:v>
                </c:pt>
                <c:pt idx="23">
                  <c:v>243056.94339999999</c:v>
                </c:pt>
                <c:pt idx="24">
                  <c:v>235855.61979999999</c:v>
                </c:pt>
                <c:pt idx="25">
                  <c:v>228601.70240000001</c:v>
                </c:pt>
                <c:pt idx="26">
                  <c:v>221278.1961</c:v>
                </c:pt>
                <c:pt idx="27">
                  <c:v>214250.18410000001</c:v>
                </c:pt>
                <c:pt idx="28">
                  <c:v>207223.23509999999</c:v>
                </c:pt>
                <c:pt idx="29">
                  <c:v>200196.7935</c:v>
                </c:pt>
                <c:pt idx="30">
                  <c:v>193173.74249999999</c:v>
                </c:pt>
                <c:pt idx="31">
                  <c:v>186142.64449999999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1C-41EE-B093-5C9E73385668}"/>
            </c:ext>
          </c:extLst>
        </c:ser>
        <c:ser>
          <c:idx val="6"/>
          <c:order val="6"/>
          <c:tx>
            <c:strRef>
              <c:f>'Total Emissions'!$B$15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Emissions'!$C$15:$AH$15</c:f>
              <c:numCache>
                <c:formatCode>General</c:formatCode>
                <c:ptCount val="32"/>
                <c:pt idx="0">
                  <c:v>221100.7</c:v>
                </c:pt>
                <c:pt idx="1">
                  <c:v>220935.7</c:v>
                </c:pt>
                <c:pt idx="2">
                  <c:v>220430.5</c:v>
                </c:pt>
                <c:pt idx="3">
                  <c:v>219791.4</c:v>
                </c:pt>
                <c:pt idx="4">
                  <c:v>217404.7</c:v>
                </c:pt>
                <c:pt idx="5">
                  <c:v>213082.7</c:v>
                </c:pt>
                <c:pt idx="6">
                  <c:v>208814.7</c:v>
                </c:pt>
                <c:pt idx="7">
                  <c:v>203497.1</c:v>
                </c:pt>
                <c:pt idx="8">
                  <c:v>198007.4</c:v>
                </c:pt>
                <c:pt idx="9">
                  <c:v>192254.5</c:v>
                </c:pt>
                <c:pt idx="10">
                  <c:v>184118</c:v>
                </c:pt>
                <c:pt idx="11">
                  <c:v>128178.1</c:v>
                </c:pt>
                <c:pt idx="12">
                  <c:v>119820.7</c:v>
                </c:pt>
                <c:pt idx="13">
                  <c:v>111607.3</c:v>
                </c:pt>
                <c:pt idx="14">
                  <c:v>103757.1</c:v>
                </c:pt>
                <c:pt idx="15">
                  <c:v>96144.36</c:v>
                </c:pt>
                <c:pt idx="16">
                  <c:v>90239.03</c:v>
                </c:pt>
                <c:pt idx="17">
                  <c:v>84669.75</c:v>
                </c:pt>
                <c:pt idx="18">
                  <c:v>79674.87</c:v>
                </c:pt>
                <c:pt idx="19">
                  <c:v>75226.5</c:v>
                </c:pt>
                <c:pt idx="20">
                  <c:v>71123.02</c:v>
                </c:pt>
                <c:pt idx="21">
                  <c:v>67794.97</c:v>
                </c:pt>
                <c:pt idx="22">
                  <c:v>65739.990000000005</c:v>
                </c:pt>
                <c:pt idx="23">
                  <c:v>63887.86</c:v>
                </c:pt>
                <c:pt idx="24">
                  <c:v>62196.38</c:v>
                </c:pt>
                <c:pt idx="25">
                  <c:v>60568.52</c:v>
                </c:pt>
                <c:pt idx="26">
                  <c:v>47186.31</c:v>
                </c:pt>
                <c:pt idx="27">
                  <c:v>45840.24</c:v>
                </c:pt>
                <c:pt idx="28">
                  <c:v>44542.879999999997</c:v>
                </c:pt>
                <c:pt idx="29">
                  <c:v>43281.7</c:v>
                </c:pt>
                <c:pt idx="30">
                  <c:v>41939.19</c:v>
                </c:pt>
                <c:pt idx="31">
                  <c:v>40845.61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1C-41EE-B093-5C9E7338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0001"/>
        <c:axId val="50020002"/>
      </c:areaChart>
      <c:catAx>
        <c:axId val="500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20002"/>
        <c:crosses val="autoZero"/>
        <c:auto val="1"/>
        <c:lblAlgn val="ctr"/>
        <c:lblOffset val="100"/>
        <c:tickLblSkip val="2"/>
        <c:noMultiLvlLbl val="0"/>
      </c:catAx>
      <c:valAx>
        <c:axId val="500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2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Emissions'!$B$115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Emissions'!$C$115:$AH$115</c:f>
              <c:numCache>
                <c:formatCode>General</c:formatCode>
                <c:ptCount val="32"/>
                <c:pt idx="0">
                  <c:v>24286310</c:v>
                </c:pt>
                <c:pt idx="1">
                  <c:v>24297700</c:v>
                </c:pt>
                <c:pt idx="2">
                  <c:v>24305710</c:v>
                </c:pt>
                <c:pt idx="3">
                  <c:v>24121830</c:v>
                </c:pt>
                <c:pt idx="4">
                  <c:v>23991210</c:v>
                </c:pt>
                <c:pt idx="5">
                  <c:v>23642230</c:v>
                </c:pt>
                <c:pt idx="6">
                  <c:v>22426240</c:v>
                </c:pt>
                <c:pt idx="7">
                  <c:v>21835640</c:v>
                </c:pt>
                <c:pt idx="8">
                  <c:v>21155080</c:v>
                </c:pt>
                <c:pt idx="9">
                  <c:v>20471120</c:v>
                </c:pt>
                <c:pt idx="10">
                  <c:v>19870390</c:v>
                </c:pt>
                <c:pt idx="11">
                  <c:v>19506600</c:v>
                </c:pt>
                <c:pt idx="12">
                  <c:v>19307600</c:v>
                </c:pt>
                <c:pt idx="13">
                  <c:v>19249330</c:v>
                </c:pt>
                <c:pt idx="14">
                  <c:v>19265360</c:v>
                </c:pt>
                <c:pt idx="15">
                  <c:v>19173900</c:v>
                </c:pt>
                <c:pt idx="16">
                  <c:v>19225330</c:v>
                </c:pt>
                <c:pt idx="17">
                  <c:v>19237250</c:v>
                </c:pt>
                <c:pt idx="18">
                  <c:v>19245390</c:v>
                </c:pt>
                <c:pt idx="19">
                  <c:v>19263140</c:v>
                </c:pt>
                <c:pt idx="20">
                  <c:v>19306440</c:v>
                </c:pt>
                <c:pt idx="21">
                  <c:v>19372180</c:v>
                </c:pt>
                <c:pt idx="22">
                  <c:v>19422250</c:v>
                </c:pt>
                <c:pt idx="23">
                  <c:v>19463030</c:v>
                </c:pt>
                <c:pt idx="24">
                  <c:v>19498450</c:v>
                </c:pt>
                <c:pt idx="25">
                  <c:v>19537160</c:v>
                </c:pt>
                <c:pt idx="26">
                  <c:v>19585610</c:v>
                </c:pt>
                <c:pt idx="27">
                  <c:v>19647840</c:v>
                </c:pt>
                <c:pt idx="28">
                  <c:v>19729090</c:v>
                </c:pt>
                <c:pt idx="29">
                  <c:v>19830530</c:v>
                </c:pt>
                <c:pt idx="30">
                  <c:v>19950060</c:v>
                </c:pt>
                <c:pt idx="31">
                  <c:v>20078370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2-49A8-8623-35C6B7E44669}"/>
            </c:ext>
          </c:extLst>
        </c:ser>
        <c:ser>
          <c:idx val="1"/>
          <c:order val="1"/>
          <c:tx>
            <c:strRef>
              <c:f>'Total Emissions'!$B$118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Emissions'!$C$118:$AH$118</c:f>
              <c:numCache>
                <c:formatCode>General</c:formatCode>
                <c:ptCount val="32"/>
                <c:pt idx="0">
                  <c:v>21637454.120000001</c:v>
                </c:pt>
                <c:pt idx="1">
                  <c:v>21650295.120000001</c:v>
                </c:pt>
                <c:pt idx="2">
                  <c:v>21671386.120000001</c:v>
                </c:pt>
                <c:pt idx="3">
                  <c:v>21708690.120000001</c:v>
                </c:pt>
                <c:pt idx="4">
                  <c:v>21744813.120000001</c:v>
                </c:pt>
                <c:pt idx="5">
                  <c:v>21778704.120000001</c:v>
                </c:pt>
                <c:pt idx="6">
                  <c:v>21810671.120000001</c:v>
                </c:pt>
                <c:pt idx="7">
                  <c:v>21809823.120000001</c:v>
                </c:pt>
                <c:pt idx="8">
                  <c:v>21809696.120000001</c:v>
                </c:pt>
                <c:pt idx="9">
                  <c:v>21812532.120000001</c:v>
                </c:pt>
                <c:pt idx="10">
                  <c:v>21819530.120000001</c:v>
                </c:pt>
                <c:pt idx="11">
                  <c:v>21830056.120000001</c:v>
                </c:pt>
                <c:pt idx="12">
                  <c:v>21837272.120000001</c:v>
                </c:pt>
                <c:pt idx="13">
                  <c:v>21842522.120000001</c:v>
                </c:pt>
                <c:pt idx="14">
                  <c:v>21844343.120000001</c:v>
                </c:pt>
                <c:pt idx="15">
                  <c:v>21843178.120000001</c:v>
                </c:pt>
                <c:pt idx="16">
                  <c:v>21840280.120000001</c:v>
                </c:pt>
                <c:pt idx="17">
                  <c:v>21831985.120000001</c:v>
                </c:pt>
                <c:pt idx="18">
                  <c:v>21823360.120000001</c:v>
                </c:pt>
                <c:pt idx="19">
                  <c:v>21814510.120000001</c:v>
                </c:pt>
                <c:pt idx="20">
                  <c:v>21805452.120000001</c:v>
                </c:pt>
                <c:pt idx="21">
                  <c:v>21796186.120000001</c:v>
                </c:pt>
                <c:pt idx="22">
                  <c:v>21783477.120000001</c:v>
                </c:pt>
                <c:pt idx="23">
                  <c:v>21770538.120000001</c:v>
                </c:pt>
                <c:pt idx="24">
                  <c:v>21757372.120000001</c:v>
                </c:pt>
                <c:pt idx="25">
                  <c:v>21743975.120000001</c:v>
                </c:pt>
                <c:pt idx="26">
                  <c:v>21730602.120000001</c:v>
                </c:pt>
                <c:pt idx="27">
                  <c:v>21714137.120000001</c:v>
                </c:pt>
                <c:pt idx="28">
                  <c:v>21697810.120000001</c:v>
                </c:pt>
                <c:pt idx="29">
                  <c:v>21681536.120000001</c:v>
                </c:pt>
                <c:pt idx="30">
                  <c:v>21665110.120000001</c:v>
                </c:pt>
                <c:pt idx="31">
                  <c:v>21648550.120000001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2-49A8-8623-35C6B7E44669}"/>
            </c:ext>
          </c:extLst>
        </c:ser>
        <c:ser>
          <c:idx val="2"/>
          <c:order val="2"/>
          <c:tx>
            <c:strRef>
              <c:f>'Total Emissions'!$B$112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Emissions'!$C$112:$AH$112</c:f>
              <c:numCache>
                <c:formatCode>General</c:formatCode>
                <c:ptCount val="32"/>
                <c:pt idx="0">
                  <c:v>16213790</c:v>
                </c:pt>
                <c:pt idx="1">
                  <c:v>15618830</c:v>
                </c:pt>
                <c:pt idx="2">
                  <c:v>15608890</c:v>
                </c:pt>
                <c:pt idx="3">
                  <c:v>15554650</c:v>
                </c:pt>
                <c:pt idx="4">
                  <c:v>15519720</c:v>
                </c:pt>
                <c:pt idx="5">
                  <c:v>15468090</c:v>
                </c:pt>
                <c:pt idx="6">
                  <c:v>15468100</c:v>
                </c:pt>
                <c:pt idx="7">
                  <c:v>15375690</c:v>
                </c:pt>
                <c:pt idx="8">
                  <c:v>15310440</c:v>
                </c:pt>
                <c:pt idx="9">
                  <c:v>15254690</c:v>
                </c:pt>
                <c:pt idx="10">
                  <c:v>15205550</c:v>
                </c:pt>
                <c:pt idx="11">
                  <c:v>15179170</c:v>
                </c:pt>
                <c:pt idx="12">
                  <c:v>15155940</c:v>
                </c:pt>
                <c:pt idx="13">
                  <c:v>15148540</c:v>
                </c:pt>
                <c:pt idx="14">
                  <c:v>15140100</c:v>
                </c:pt>
                <c:pt idx="15">
                  <c:v>15122360</c:v>
                </c:pt>
                <c:pt idx="16">
                  <c:v>15127430</c:v>
                </c:pt>
                <c:pt idx="17">
                  <c:v>15130150</c:v>
                </c:pt>
                <c:pt idx="18">
                  <c:v>15135160</c:v>
                </c:pt>
                <c:pt idx="19">
                  <c:v>15143480</c:v>
                </c:pt>
                <c:pt idx="20">
                  <c:v>15157400</c:v>
                </c:pt>
                <c:pt idx="21">
                  <c:v>15176440</c:v>
                </c:pt>
                <c:pt idx="22">
                  <c:v>15192240</c:v>
                </c:pt>
                <c:pt idx="23">
                  <c:v>15208910</c:v>
                </c:pt>
                <c:pt idx="24">
                  <c:v>15226550</c:v>
                </c:pt>
                <c:pt idx="25">
                  <c:v>15245670</c:v>
                </c:pt>
                <c:pt idx="26">
                  <c:v>15266630</c:v>
                </c:pt>
                <c:pt idx="27">
                  <c:v>15292200</c:v>
                </c:pt>
                <c:pt idx="28">
                  <c:v>15320310</c:v>
                </c:pt>
                <c:pt idx="29">
                  <c:v>15350900</c:v>
                </c:pt>
                <c:pt idx="30">
                  <c:v>15383660</c:v>
                </c:pt>
                <c:pt idx="31">
                  <c:v>15417470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E2-49A8-8623-35C6B7E44669}"/>
            </c:ext>
          </c:extLst>
        </c:ser>
        <c:ser>
          <c:idx val="3"/>
          <c:order val="3"/>
          <c:tx>
            <c:strRef>
              <c:f>'Total Emissions'!$B$116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Emissions'!$C$116:$AH$116</c:f>
              <c:numCache>
                <c:formatCode>General</c:formatCode>
                <c:ptCount val="32"/>
                <c:pt idx="0">
                  <c:v>9786438.5133999996</c:v>
                </c:pt>
                <c:pt idx="1">
                  <c:v>9857689.2119999994</c:v>
                </c:pt>
                <c:pt idx="2">
                  <c:v>9981695.9590000007</c:v>
                </c:pt>
                <c:pt idx="3">
                  <c:v>10128409.047</c:v>
                </c:pt>
                <c:pt idx="4">
                  <c:v>10279513.749</c:v>
                </c:pt>
                <c:pt idx="5">
                  <c:v>10430983.069</c:v>
                </c:pt>
                <c:pt idx="6">
                  <c:v>10591549.131999999</c:v>
                </c:pt>
                <c:pt idx="7">
                  <c:v>10666337.218</c:v>
                </c:pt>
                <c:pt idx="8">
                  <c:v>10742500.162</c:v>
                </c:pt>
                <c:pt idx="9">
                  <c:v>10816791.494999999</c:v>
                </c:pt>
                <c:pt idx="10">
                  <c:v>10888674.272</c:v>
                </c:pt>
                <c:pt idx="11">
                  <c:v>10958912.07</c:v>
                </c:pt>
                <c:pt idx="12">
                  <c:v>11011755.185000001</c:v>
                </c:pt>
                <c:pt idx="13">
                  <c:v>11063802.790999999</c:v>
                </c:pt>
                <c:pt idx="14">
                  <c:v>11119804.503</c:v>
                </c:pt>
                <c:pt idx="15">
                  <c:v>11175666.370999999</c:v>
                </c:pt>
                <c:pt idx="16">
                  <c:v>11233106.02</c:v>
                </c:pt>
                <c:pt idx="17">
                  <c:v>11280459.028000001</c:v>
                </c:pt>
                <c:pt idx="18">
                  <c:v>11327679.273</c:v>
                </c:pt>
                <c:pt idx="19">
                  <c:v>11374956.248</c:v>
                </c:pt>
                <c:pt idx="20">
                  <c:v>11422453.938999999</c:v>
                </c:pt>
                <c:pt idx="21">
                  <c:v>11470087.811000001</c:v>
                </c:pt>
                <c:pt idx="22">
                  <c:v>11519007.773</c:v>
                </c:pt>
                <c:pt idx="23">
                  <c:v>11567694.674000001</c:v>
                </c:pt>
                <c:pt idx="24">
                  <c:v>11616182.301999999</c:v>
                </c:pt>
                <c:pt idx="25">
                  <c:v>11664581.614</c:v>
                </c:pt>
                <c:pt idx="26">
                  <c:v>11713167.176000001</c:v>
                </c:pt>
                <c:pt idx="27">
                  <c:v>11759487.5</c:v>
                </c:pt>
                <c:pt idx="28">
                  <c:v>11806155.608999999</c:v>
                </c:pt>
                <c:pt idx="29">
                  <c:v>11853123.118000001</c:v>
                </c:pt>
                <c:pt idx="30">
                  <c:v>11900306.793</c:v>
                </c:pt>
                <c:pt idx="31">
                  <c:v>11947524.492000001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E2-49A8-8623-35C6B7E44669}"/>
            </c:ext>
          </c:extLst>
        </c:ser>
        <c:ser>
          <c:idx val="4"/>
          <c:order val="4"/>
          <c:tx>
            <c:strRef>
              <c:f>'Total Emissions'!$B$111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Emissions'!$C$111:$AH$111</c:f>
              <c:numCache>
                <c:formatCode>General</c:formatCode>
                <c:ptCount val="32"/>
                <c:pt idx="0">
                  <c:v>8510024.0999999996</c:v>
                </c:pt>
                <c:pt idx="1">
                  <c:v>8510024.0999999996</c:v>
                </c:pt>
                <c:pt idx="2">
                  <c:v>8510024.0999999996</c:v>
                </c:pt>
                <c:pt idx="3">
                  <c:v>8510024.0999999996</c:v>
                </c:pt>
                <c:pt idx="4">
                  <c:v>8510024.0999999996</c:v>
                </c:pt>
                <c:pt idx="5">
                  <c:v>8510024.0999999996</c:v>
                </c:pt>
                <c:pt idx="6">
                  <c:v>8510024.0999999996</c:v>
                </c:pt>
                <c:pt idx="7">
                  <c:v>8510106</c:v>
                </c:pt>
                <c:pt idx="8">
                  <c:v>8510187.9000000004</c:v>
                </c:pt>
                <c:pt idx="9">
                  <c:v>8510269.8000000007</c:v>
                </c:pt>
                <c:pt idx="10">
                  <c:v>8510351.6999999993</c:v>
                </c:pt>
                <c:pt idx="11">
                  <c:v>8510433.5</c:v>
                </c:pt>
                <c:pt idx="12">
                  <c:v>8510624.5999999996</c:v>
                </c:pt>
                <c:pt idx="13">
                  <c:v>8510815.6999999993</c:v>
                </c:pt>
                <c:pt idx="14">
                  <c:v>8511006.6999999993</c:v>
                </c:pt>
                <c:pt idx="15">
                  <c:v>8511197.8000000007</c:v>
                </c:pt>
                <c:pt idx="16">
                  <c:v>8511388.9000000004</c:v>
                </c:pt>
                <c:pt idx="17">
                  <c:v>8511695.9000000004</c:v>
                </c:pt>
                <c:pt idx="18">
                  <c:v>8512003</c:v>
                </c:pt>
                <c:pt idx="19">
                  <c:v>8512310.0999999996</c:v>
                </c:pt>
                <c:pt idx="20">
                  <c:v>8512617.0999999996</c:v>
                </c:pt>
                <c:pt idx="21">
                  <c:v>8512924.1999999993</c:v>
                </c:pt>
                <c:pt idx="22">
                  <c:v>8513091.4000000004</c:v>
                </c:pt>
                <c:pt idx="23">
                  <c:v>8513258.5999999996</c:v>
                </c:pt>
                <c:pt idx="24">
                  <c:v>8513425.8000000007</c:v>
                </c:pt>
                <c:pt idx="25">
                  <c:v>8513592.9000000004</c:v>
                </c:pt>
                <c:pt idx="26">
                  <c:v>8513760.0999999996</c:v>
                </c:pt>
                <c:pt idx="27">
                  <c:v>8513824.9000000004</c:v>
                </c:pt>
                <c:pt idx="28">
                  <c:v>8513889.8000000007</c:v>
                </c:pt>
                <c:pt idx="29">
                  <c:v>8513954.5999999996</c:v>
                </c:pt>
                <c:pt idx="30">
                  <c:v>8514019.4000000004</c:v>
                </c:pt>
                <c:pt idx="31">
                  <c:v>8514084.1999999993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E2-49A8-8623-35C6B7E44669}"/>
            </c:ext>
          </c:extLst>
        </c:ser>
        <c:ser>
          <c:idx val="5"/>
          <c:order val="5"/>
          <c:tx>
            <c:strRef>
              <c:f>'Total Emissions'!$B$117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Emissions'!$C$117:$AH$117</c:f>
              <c:numCache>
                <c:formatCode>General</c:formatCode>
                <c:ptCount val="32"/>
                <c:pt idx="0">
                  <c:v>7872484</c:v>
                </c:pt>
                <c:pt idx="1">
                  <c:v>7872484</c:v>
                </c:pt>
                <c:pt idx="2">
                  <c:v>7872484</c:v>
                </c:pt>
                <c:pt idx="3">
                  <c:v>7872484</c:v>
                </c:pt>
                <c:pt idx="4">
                  <c:v>7872484</c:v>
                </c:pt>
                <c:pt idx="5">
                  <c:v>7872484</c:v>
                </c:pt>
                <c:pt idx="6">
                  <c:v>7872484</c:v>
                </c:pt>
                <c:pt idx="7">
                  <c:v>7872484</c:v>
                </c:pt>
                <c:pt idx="8">
                  <c:v>7872484</c:v>
                </c:pt>
                <c:pt idx="9">
                  <c:v>7872484</c:v>
                </c:pt>
                <c:pt idx="10">
                  <c:v>7872484</c:v>
                </c:pt>
                <c:pt idx="11">
                  <c:v>7872484</c:v>
                </c:pt>
                <c:pt idx="12">
                  <c:v>7872484</c:v>
                </c:pt>
                <c:pt idx="13">
                  <c:v>7872484</c:v>
                </c:pt>
                <c:pt idx="14">
                  <c:v>7872484</c:v>
                </c:pt>
                <c:pt idx="15">
                  <c:v>7872484</c:v>
                </c:pt>
                <c:pt idx="16">
                  <c:v>7872484</c:v>
                </c:pt>
                <c:pt idx="17">
                  <c:v>7872484</c:v>
                </c:pt>
                <c:pt idx="18">
                  <c:v>7872484</c:v>
                </c:pt>
                <c:pt idx="19">
                  <c:v>7872484</c:v>
                </c:pt>
                <c:pt idx="20">
                  <c:v>7872484</c:v>
                </c:pt>
                <c:pt idx="21">
                  <c:v>7872484</c:v>
                </c:pt>
                <c:pt idx="22">
                  <c:v>7872484</c:v>
                </c:pt>
                <c:pt idx="23">
                  <c:v>7872484</c:v>
                </c:pt>
                <c:pt idx="24">
                  <c:v>7872484</c:v>
                </c:pt>
                <c:pt idx="25">
                  <c:v>7872484</c:v>
                </c:pt>
                <c:pt idx="26">
                  <c:v>7872484</c:v>
                </c:pt>
                <c:pt idx="27">
                  <c:v>7872484</c:v>
                </c:pt>
                <c:pt idx="28">
                  <c:v>7872484</c:v>
                </c:pt>
                <c:pt idx="29">
                  <c:v>7872484</c:v>
                </c:pt>
                <c:pt idx="30">
                  <c:v>7872484</c:v>
                </c:pt>
                <c:pt idx="31">
                  <c:v>7872484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E2-49A8-8623-35C6B7E44669}"/>
            </c:ext>
          </c:extLst>
        </c:ser>
        <c:ser>
          <c:idx val="6"/>
          <c:order val="6"/>
          <c:tx>
            <c:strRef>
              <c:f>'Total Emissions'!$B$113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Emissions'!$C$113:$AH$113</c:f>
              <c:numCache>
                <c:formatCode>General</c:formatCode>
                <c:ptCount val="32"/>
                <c:pt idx="0">
                  <c:v>6884914.7750000004</c:v>
                </c:pt>
                <c:pt idx="1">
                  <c:v>6884393.2300000004</c:v>
                </c:pt>
                <c:pt idx="2">
                  <c:v>6882733.7209999999</c:v>
                </c:pt>
                <c:pt idx="3">
                  <c:v>6882792.6799999997</c:v>
                </c:pt>
                <c:pt idx="4">
                  <c:v>6883043.2050000001</c:v>
                </c:pt>
                <c:pt idx="5">
                  <c:v>6883437.9960000003</c:v>
                </c:pt>
                <c:pt idx="6">
                  <c:v>6883917.3540000003</c:v>
                </c:pt>
                <c:pt idx="7">
                  <c:v>6888188.5350000001</c:v>
                </c:pt>
                <c:pt idx="8">
                  <c:v>6892478.2910000002</c:v>
                </c:pt>
                <c:pt idx="9">
                  <c:v>6896770.1220000004</c:v>
                </c:pt>
                <c:pt idx="10">
                  <c:v>6901046.9270000001</c:v>
                </c:pt>
                <c:pt idx="11">
                  <c:v>6905308.5080000004</c:v>
                </c:pt>
                <c:pt idx="12">
                  <c:v>6914624.4900000002</c:v>
                </c:pt>
                <c:pt idx="13">
                  <c:v>6923930.165</c:v>
                </c:pt>
                <c:pt idx="14">
                  <c:v>6933226.1330000004</c:v>
                </c:pt>
                <c:pt idx="15">
                  <c:v>6942514.9939999999</c:v>
                </c:pt>
                <c:pt idx="16">
                  <c:v>6951795.648</c:v>
                </c:pt>
                <c:pt idx="17">
                  <c:v>6966362.6189999999</c:v>
                </c:pt>
                <c:pt idx="18">
                  <c:v>6980922.9890000001</c:v>
                </c:pt>
                <c:pt idx="19">
                  <c:v>6995476.8569999998</c:v>
                </c:pt>
                <c:pt idx="20">
                  <c:v>7010024.1229999997</c:v>
                </c:pt>
                <c:pt idx="21">
                  <c:v>7024564.8870000001</c:v>
                </c:pt>
                <c:pt idx="22">
                  <c:v>7032267.2810000004</c:v>
                </c:pt>
                <c:pt idx="23">
                  <c:v>7039963.75</c:v>
                </c:pt>
                <c:pt idx="24">
                  <c:v>7047654.2929999996</c:v>
                </c:pt>
                <c:pt idx="25">
                  <c:v>7055339.9119999995</c:v>
                </c:pt>
                <c:pt idx="26">
                  <c:v>7063022.7060000002</c:v>
                </c:pt>
                <c:pt idx="27">
                  <c:v>7065617.0860000001</c:v>
                </c:pt>
                <c:pt idx="28">
                  <c:v>7068238.0389999999</c:v>
                </c:pt>
                <c:pt idx="29">
                  <c:v>7070878.8650000002</c:v>
                </c:pt>
                <c:pt idx="30">
                  <c:v>7073544.4639999997</c:v>
                </c:pt>
                <c:pt idx="31">
                  <c:v>7076205.0369999995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E2-49A8-8623-35C6B7E44669}"/>
            </c:ext>
          </c:extLst>
        </c:ser>
        <c:ser>
          <c:idx val="7"/>
          <c:order val="7"/>
          <c:tx>
            <c:strRef>
              <c:f>'Total Emissions'!$B$119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Emissions'!$C$119:$AH$119</c:f>
              <c:numCache>
                <c:formatCode>General</c:formatCode>
                <c:ptCount val="32"/>
                <c:pt idx="0">
                  <c:v>5790901</c:v>
                </c:pt>
                <c:pt idx="1">
                  <c:v>5790901</c:v>
                </c:pt>
                <c:pt idx="2">
                  <c:v>5790901</c:v>
                </c:pt>
                <c:pt idx="3">
                  <c:v>5790901</c:v>
                </c:pt>
                <c:pt idx="4">
                  <c:v>5790901</c:v>
                </c:pt>
                <c:pt idx="5">
                  <c:v>5790901</c:v>
                </c:pt>
                <c:pt idx="6">
                  <c:v>5790901</c:v>
                </c:pt>
                <c:pt idx="7">
                  <c:v>5790901</c:v>
                </c:pt>
                <c:pt idx="8">
                  <c:v>5790901</c:v>
                </c:pt>
                <c:pt idx="9">
                  <c:v>5790901</c:v>
                </c:pt>
                <c:pt idx="10">
                  <c:v>5790901</c:v>
                </c:pt>
                <c:pt idx="11">
                  <c:v>5790901</c:v>
                </c:pt>
                <c:pt idx="12">
                  <c:v>5790901</c:v>
                </c:pt>
                <c:pt idx="13">
                  <c:v>5790901</c:v>
                </c:pt>
                <c:pt idx="14">
                  <c:v>5790901</c:v>
                </c:pt>
                <c:pt idx="15">
                  <c:v>5790901</c:v>
                </c:pt>
                <c:pt idx="16">
                  <c:v>5790901</c:v>
                </c:pt>
                <c:pt idx="17">
                  <c:v>5790901</c:v>
                </c:pt>
                <c:pt idx="18">
                  <c:v>5790901</c:v>
                </c:pt>
                <c:pt idx="19">
                  <c:v>5790901</c:v>
                </c:pt>
                <c:pt idx="20">
                  <c:v>5790901</c:v>
                </c:pt>
                <c:pt idx="21">
                  <c:v>5790901</c:v>
                </c:pt>
                <c:pt idx="22">
                  <c:v>5790901</c:v>
                </c:pt>
                <c:pt idx="23">
                  <c:v>5790901</c:v>
                </c:pt>
                <c:pt idx="24">
                  <c:v>5790901</c:v>
                </c:pt>
                <c:pt idx="25">
                  <c:v>5790901</c:v>
                </c:pt>
                <c:pt idx="26">
                  <c:v>5790901</c:v>
                </c:pt>
                <c:pt idx="27">
                  <c:v>5790901</c:v>
                </c:pt>
                <c:pt idx="28">
                  <c:v>5790901</c:v>
                </c:pt>
                <c:pt idx="29">
                  <c:v>5790901</c:v>
                </c:pt>
                <c:pt idx="30">
                  <c:v>5790901</c:v>
                </c:pt>
                <c:pt idx="3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E2-49A8-8623-35C6B7E44669}"/>
            </c:ext>
          </c:extLst>
        </c:ser>
        <c:ser>
          <c:idx val="8"/>
          <c:order val="8"/>
          <c:tx>
            <c:strRef>
              <c:f>'Total Emissions'!$B$120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Emissions'!$C$120:$AH$120</c:f>
              <c:numCache>
                <c:formatCode>General</c:formatCode>
                <c:ptCount val="32"/>
                <c:pt idx="0">
                  <c:v>3801677</c:v>
                </c:pt>
                <c:pt idx="1">
                  <c:v>3801677</c:v>
                </c:pt>
                <c:pt idx="2">
                  <c:v>3801677</c:v>
                </c:pt>
                <c:pt idx="3">
                  <c:v>3801677</c:v>
                </c:pt>
                <c:pt idx="4">
                  <c:v>3801677</c:v>
                </c:pt>
                <c:pt idx="5">
                  <c:v>3801677</c:v>
                </c:pt>
                <c:pt idx="6">
                  <c:v>3801677</c:v>
                </c:pt>
                <c:pt idx="7">
                  <c:v>3801677</c:v>
                </c:pt>
                <c:pt idx="8">
                  <c:v>3801677</c:v>
                </c:pt>
                <c:pt idx="9">
                  <c:v>3801677</c:v>
                </c:pt>
                <c:pt idx="10">
                  <c:v>3801677</c:v>
                </c:pt>
                <c:pt idx="11">
                  <c:v>3801677</c:v>
                </c:pt>
                <c:pt idx="12">
                  <c:v>3801677</c:v>
                </c:pt>
                <c:pt idx="13">
                  <c:v>3801677</c:v>
                </c:pt>
                <c:pt idx="14">
                  <c:v>3801677</c:v>
                </c:pt>
                <c:pt idx="15">
                  <c:v>3801677</c:v>
                </c:pt>
                <c:pt idx="16">
                  <c:v>3801677</c:v>
                </c:pt>
                <c:pt idx="17">
                  <c:v>3801677</c:v>
                </c:pt>
                <c:pt idx="18">
                  <c:v>3801677</c:v>
                </c:pt>
                <c:pt idx="19">
                  <c:v>3801677</c:v>
                </c:pt>
                <c:pt idx="20">
                  <c:v>3801677</c:v>
                </c:pt>
                <c:pt idx="21">
                  <c:v>3801677</c:v>
                </c:pt>
                <c:pt idx="22">
                  <c:v>3801677</c:v>
                </c:pt>
                <c:pt idx="23">
                  <c:v>3801677</c:v>
                </c:pt>
                <c:pt idx="24">
                  <c:v>3801677</c:v>
                </c:pt>
                <c:pt idx="25">
                  <c:v>3801677</c:v>
                </c:pt>
                <c:pt idx="26">
                  <c:v>3801677</c:v>
                </c:pt>
                <c:pt idx="27">
                  <c:v>3801677</c:v>
                </c:pt>
                <c:pt idx="28">
                  <c:v>3801677</c:v>
                </c:pt>
                <c:pt idx="29">
                  <c:v>3801677</c:v>
                </c:pt>
                <c:pt idx="30">
                  <c:v>3801677</c:v>
                </c:pt>
                <c:pt idx="31">
                  <c:v>3801677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E2-49A8-8623-35C6B7E44669}"/>
            </c:ext>
          </c:extLst>
        </c:ser>
        <c:ser>
          <c:idx val="9"/>
          <c:order val="9"/>
          <c:tx>
            <c:strRef>
              <c:f>'Total Emissions'!$B$121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Emissions'!$C$121:$AH$121</c:f>
              <c:numCache>
                <c:formatCode>General</c:formatCode>
                <c:ptCount val="32"/>
                <c:pt idx="0">
                  <c:v>729368.12510000006</c:v>
                </c:pt>
                <c:pt idx="1">
                  <c:v>730476.22510000004</c:v>
                </c:pt>
                <c:pt idx="2">
                  <c:v>732197.52510000009</c:v>
                </c:pt>
                <c:pt idx="3">
                  <c:v>734304.82510000002</c:v>
                </c:pt>
                <c:pt idx="4">
                  <c:v>736691.62510000006</c:v>
                </c:pt>
                <c:pt idx="5">
                  <c:v>739225.72510000004</c:v>
                </c:pt>
                <c:pt idx="6">
                  <c:v>741794.02509999997</c:v>
                </c:pt>
                <c:pt idx="7">
                  <c:v>742575.92509999999</c:v>
                </c:pt>
                <c:pt idx="8">
                  <c:v>743410.02509999997</c:v>
                </c:pt>
                <c:pt idx="9">
                  <c:v>744325.02510000009</c:v>
                </c:pt>
                <c:pt idx="10">
                  <c:v>745329.22509999992</c:v>
                </c:pt>
                <c:pt idx="11">
                  <c:v>746435.52510000009</c:v>
                </c:pt>
                <c:pt idx="12">
                  <c:v>747397.62510000006</c:v>
                </c:pt>
                <c:pt idx="13">
                  <c:v>748405.42509999999</c:v>
                </c:pt>
                <c:pt idx="14">
                  <c:v>749428.32510000002</c:v>
                </c:pt>
                <c:pt idx="15">
                  <c:v>750448.72510000004</c:v>
                </c:pt>
                <c:pt idx="16">
                  <c:v>751459.72510000004</c:v>
                </c:pt>
                <c:pt idx="17">
                  <c:v>752338.02509999997</c:v>
                </c:pt>
                <c:pt idx="18">
                  <c:v>753205.02510000009</c:v>
                </c:pt>
                <c:pt idx="19">
                  <c:v>754060.72510000004</c:v>
                </c:pt>
                <c:pt idx="20">
                  <c:v>754905.12510000006</c:v>
                </c:pt>
                <c:pt idx="21">
                  <c:v>755738.22510000004</c:v>
                </c:pt>
                <c:pt idx="22">
                  <c:v>756290.02509999997</c:v>
                </c:pt>
                <c:pt idx="23">
                  <c:v>756831.82510000002</c:v>
                </c:pt>
                <c:pt idx="24">
                  <c:v>757363.52509999997</c:v>
                </c:pt>
                <c:pt idx="25">
                  <c:v>757892.62510000006</c:v>
                </c:pt>
                <c:pt idx="26">
                  <c:v>758419.62510000006</c:v>
                </c:pt>
                <c:pt idx="27">
                  <c:v>758739.32510000002</c:v>
                </c:pt>
                <c:pt idx="28">
                  <c:v>759126.82510000002</c:v>
                </c:pt>
                <c:pt idx="29">
                  <c:v>759553.32510000002</c:v>
                </c:pt>
                <c:pt idx="30">
                  <c:v>759970.02509999997</c:v>
                </c:pt>
                <c:pt idx="31">
                  <c:v>760376.92509999999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E2-49A8-8623-35C6B7E44669}"/>
            </c:ext>
          </c:extLst>
        </c:ser>
        <c:ser>
          <c:idx val="10"/>
          <c:order val="10"/>
          <c:tx>
            <c:strRef>
              <c:f>'Total Emissions'!$B$123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Emissions'!$C$123:$AH$123</c:f>
              <c:numCache>
                <c:formatCode>General</c:formatCode>
                <c:ptCount val="32"/>
                <c:pt idx="0">
                  <c:v>384783.25699999998</c:v>
                </c:pt>
                <c:pt idx="1">
                  <c:v>384823.85700000002</c:v>
                </c:pt>
                <c:pt idx="2">
                  <c:v>384130.35700000002</c:v>
                </c:pt>
                <c:pt idx="3">
                  <c:v>383523.25699999998</c:v>
                </c:pt>
                <c:pt idx="4">
                  <c:v>382980.75699999998</c:v>
                </c:pt>
                <c:pt idx="5">
                  <c:v>382502.65700000001</c:v>
                </c:pt>
                <c:pt idx="6">
                  <c:v>382021.45699999999</c:v>
                </c:pt>
                <c:pt idx="7">
                  <c:v>381465.25699999998</c:v>
                </c:pt>
                <c:pt idx="8">
                  <c:v>380945.55699999997</c:v>
                </c:pt>
                <c:pt idx="9">
                  <c:v>380459.25699999998</c:v>
                </c:pt>
                <c:pt idx="10">
                  <c:v>379966.85700000002</c:v>
                </c:pt>
                <c:pt idx="11">
                  <c:v>379468.25699999998</c:v>
                </c:pt>
                <c:pt idx="12">
                  <c:v>378959.55699999997</c:v>
                </c:pt>
                <c:pt idx="13">
                  <c:v>378447.95699999999</c:v>
                </c:pt>
                <c:pt idx="14">
                  <c:v>377934.75699999998</c:v>
                </c:pt>
                <c:pt idx="15">
                  <c:v>377419.85700000002</c:v>
                </c:pt>
                <c:pt idx="16">
                  <c:v>376903.15700000001</c:v>
                </c:pt>
                <c:pt idx="17">
                  <c:v>376367.05699999997</c:v>
                </c:pt>
                <c:pt idx="18">
                  <c:v>375829.45699999999</c:v>
                </c:pt>
                <c:pt idx="19">
                  <c:v>375290.35700000002</c:v>
                </c:pt>
                <c:pt idx="20">
                  <c:v>374749.65700000001</c:v>
                </c:pt>
                <c:pt idx="21">
                  <c:v>374207.65700000001</c:v>
                </c:pt>
                <c:pt idx="22">
                  <c:v>373569.95699999999</c:v>
                </c:pt>
                <c:pt idx="23">
                  <c:v>372930.75699999998</c:v>
                </c:pt>
                <c:pt idx="24">
                  <c:v>372290.15700000001</c:v>
                </c:pt>
                <c:pt idx="25">
                  <c:v>371654.45699999999</c:v>
                </c:pt>
                <c:pt idx="26">
                  <c:v>371024.75699999998</c:v>
                </c:pt>
                <c:pt idx="27">
                  <c:v>370267.45699999999</c:v>
                </c:pt>
                <c:pt idx="28">
                  <c:v>369516.75699999998</c:v>
                </c:pt>
                <c:pt idx="29">
                  <c:v>368767.85700000002</c:v>
                </c:pt>
                <c:pt idx="30">
                  <c:v>368019.75699999998</c:v>
                </c:pt>
                <c:pt idx="31">
                  <c:v>367271.25699999998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E2-49A8-8623-35C6B7E44669}"/>
            </c:ext>
          </c:extLst>
        </c:ser>
        <c:ser>
          <c:idx val="11"/>
          <c:order val="11"/>
          <c:tx>
            <c:strRef>
              <c:f>'Total Emissions'!$B$114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Emissions'!$C$114:$AH$114</c:f>
              <c:numCache>
                <c:formatCode>General</c:formatCode>
                <c:ptCount val="32"/>
                <c:pt idx="0">
                  <c:v>221100.7</c:v>
                </c:pt>
                <c:pt idx="1">
                  <c:v>221231.2</c:v>
                </c:pt>
                <c:pt idx="2">
                  <c:v>221445.5</c:v>
                </c:pt>
                <c:pt idx="3">
                  <c:v>221824.6</c:v>
                </c:pt>
                <c:pt idx="4">
                  <c:v>222191.6</c:v>
                </c:pt>
                <c:pt idx="5">
                  <c:v>222536</c:v>
                </c:pt>
                <c:pt idx="6">
                  <c:v>222860.79999999999</c:v>
                </c:pt>
                <c:pt idx="7">
                  <c:v>222852.2</c:v>
                </c:pt>
                <c:pt idx="8">
                  <c:v>222850.9</c:v>
                </c:pt>
                <c:pt idx="9">
                  <c:v>222879.7</c:v>
                </c:pt>
                <c:pt idx="10">
                  <c:v>222950.8</c:v>
                </c:pt>
                <c:pt idx="11">
                  <c:v>223057.8</c:v>
                </c:pt>
                <c:pt idx="12">
                  <c:v>223131.1</c:v>
                </c:pt>
                <c:pt idx="13">
                  <c:v>223184.5</c:v>
                </c:pt>
                <c:pt idx="14">
                  <c:v>223203</c:v>
                </c:pt>
                <c:pt idx="15">
                  <c:v>223191.1</c:v>
                </c:pt>
                <c:pt idx="16">
                  <c:v>223161.7</c:v>
                </c:pt>
                <c:pt idx="17">
                  <c:v>223077.4</c:v>
                </c:pt>
                <c:pt idx="18">
                  <c:v>222989.8</c:v>
                </c:pt>
                <c:pt idx="19">
                  <c:v>222899.8</c:v>
                </c:pt>
                <c:pt idx="20">
                  <c:v>222807.8</c:v>
                </c:pt>
                <c:pt idx="21">
                  <c:v>222713.60000000001</c:v>
                </c:pt>
                <c:pt idx="22">
                  <c:v>222584.5</c:v>
                </c:pt>
                <c:pt idx="23">
                  <c:v>222453</c:v>
                </c:pt>
                <c:pt idx="24">
                  <c:v>222319.2</c:v>
                </c:pt>
                <c:pt idx="25">
                  <c:v>222183.1</c:v>
                </c:pt>
                <c:pt idx="26">
                  <c:v>222047.2</c:v>
                </c:pt>
                <c:pt idx="27">
                  <c:v>221879.9</c:v>
                </c:pt>
                <c:pt idx="28">
                  <c:v>221714</c:v>
                </c:pt>
                <c:pt idx="29">
                  <c:v>221548.6</c:v>
                </c:pt>
                <c:pt idx="30">
                  <c:v>221381.8</c:v>
                </c:pt>
                <c:pt idx="31">
                  <c:v>221213.5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E2-49A8-8623-35C6B7E44669}"/>
            </c:ext>
          </c:extLst>
        </c:ser>
        <c:ser>
          <c:idx val="12"/>
          <c:order val="12"/>
          <c:tx>
            <c:strRef>
              <c:f>'Total Emissions'!$B$122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Emissions'!$C$54:$AH$54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Emissions'!$C$122:$AH$122</c:f>
              <c:numCache>
                <c:formatCode>General</c:formatCode>
                <c:ptCount val="32"/>
                <c:pt idx="0">
                  <c:v>147.99354122</c:v>
                </c:pt>
                <c:pt idx="1">
                  <c:v>147.99354129</c:v>
                </c:pt>
                <c:pt idx="2">
                  <c:v>147.99354126</c:v>
                </c:pt>
                <c:pt idx="3">
                  <c:v>147.99354170000001</c:v>
                </c:pt>
                <c:pt idx="4">
                  <c:v>147.99354091999999</c:v>
                </c:pt>
                <c:pt idx="5">
                  <c:v>147.99354127000001</c:v>
                </c:pt>
                <c:pt idx="6">
                  <c:v>147.99354109999999</c:v>
                </c:pt>
                <c:pt idx="7">
                  <c:v>147.99354127000001</c:v>
                </c:pt>
                <c:pt idx="8">
                  <c:v>147.99354116999999</c:v>
                </c:pt>
                <c:pt idx="9">
                  <c:v>147.99354181999999</c:v>
                </c:pt>
                <c:pt idx="10">
                  <c:v>147.99354123000001</c:v>
                </c:pt>
                <c:pt idx="11">
                  <c:v>147.99354145000001</c:v>
                </c:pt>
                <c:pt idx="12">
                  <c:v>147.99354174000001</c:v>
                </c:pt>
                <c:pt idx="13">
                  <c:v>147.99354091999999</c:v>
                </c:pt>
                <c:pt idx="14">
                  <c:v>147.99354099000001</c:v>
                </c:pt>
                <c:pt idx="15">
                  <c:v>147.99354095999999</c:v>
                </c:pt>
                <c:pt idx="16">
                  <c:v>147.99354181000001</c:v>
                </c:pt>
                <c:pt idx="17">
                  <c:v>147.99354154</c:v>
                </c:pt>
                <c:pt idx="18">
                  <c:v>147.99354104</c:v>
                </c:pt>
                <c:pt idx="19">
                  <c:v>147.99354131000001</c:v>
                </c:pt>
                <c:pt idx="20">
                  <c:v>147.99354134999999</c:v>
                </c:pt>
                <c:pt idx="21">
                  <c:v>147.99354116999999</c:v>
                </c:pt>
                <c:pt idx="22">
                  <c:v>147.99354138999999</c:v>
                </c:pt>
                <c:pt idx="23">
                  <c:v>147.99354160999999</c:v>
                </c:pt>
                <c:pt idx="24">
                  <c:v>147.99354184000001</c:v>
                </c:pt>
                <c:pt idx="25">
                  <c:v>147.99354106999999</c:v>
                </c:pt>
                <c:pt idx="26">
                  <c:v>147.9935413</c:v>
                </c:pt>
                <c:pt idx="27">
                  <c:v>147.99354106999999</c:v>
                </c:pt>
                <c:pt idx="28">
                  <c:v>147.99354106000001</c:v>
                </c:pt>
                <c:pt idx="29">
                  <c:v>147.99354124999999</c:v>
                </c:pt>
                <c:pt idx="30">
                  <c:v>147.99354165</c:v>
                </c:pt>
                <c:pt idx="31">
                  <c:v>147.99354124999999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E2-49A8-8623-35C6B7E44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00001"/>
        <c:axId val="50200002"/>
      </c:areaChart>
      <c:catAx>
        <c:axId val="502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00002"/>
        <c:crosses val="autoZero"/>
        <c:auto val="1"/>
        <c:lblAlgn val="ctr"/>
        <c:lblOffset val="100"/>
        <c:tickLblSkip val="2"/>
        <c:noMultiLvlLbl val="0"/>
      </c:catAx>
      <c:valAx>
        <c:axId val="502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0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Emissions'!$B$115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Emissions'!$C$115,'Total Emissions'!$AH$115)</c:f>
              <c:numCache>
                <c:formatCode>General</c:formatCode>
                <c:ptCount val="2"/>
                <c:pt idx="0">
                  <c:v>24286310</c:v>
                </c:pt>
                <c:pt idx="1">
                  <c:v>20078370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7-4C5B-A7D4-FC67F16DC583}"/>
            </c:ext>
          </c:extLst>
        </c:ser>
        <c:ser>
          <c:idx val="1"/>
          <c:order val="1"/>
          <c:tx>
            <c:strRef>
              <c:f>'Total Emissions'!$B$118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Emissions'!$C$118,'Total Emissions'!$AH$118)</c:f>
              <c:numCache>
                <c:formatCode>General</c:formatCode>
                <c:ptCount val="2"/>
                <c:pt idx="0">
                  <c:v>21637454.120000001</c:v>
                </c:pt>
                <c:pt idx="1">
                  <c:v>21648550.120000001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7-4C5B-A7D4-FC67F16DC583}"/>
            </c:ext>
          </c:extLst>
        </c:ser>
        <c:ser>
          <c:idx val="2"/>
          <c:order val="2"/>
          <c:tx>
            <c:strRef>
              <c:f>'Total Emissions'!$B$112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Emissions'!$C$112,'Total Emissions'!$AH$112)</c:f>
              <c:numCache>
                <c:formatCode>General</c:formatCode>
                <c:ptCount val="2"/>
                <c:pt idx="0">
                  <c:v>16213790</c:v>
                </c:pt>
                <c:pt idx="1">
                  <c:v>15417470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7-4C5B-A7D4-FC67F16DC583}"/>
            </c:ext>
          </c:extLst>
        </c:ser>
        <c:ser>
          <c:idx val="3"/>
          <c:order val="3"/>
          <c:tx>
            <c:strRef>
              <c:f>'Total Emissions'!$B$116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Emissions'!$C$116,'Total Emissions'!$AH$116)</c:f>
              <c:numCache>
                <c:formatCode>General</c:formatCode>
                <c:ptCount val="2"/>
                <c:pt idx="0">
                  <c:v>9786438.5133999996</c:v>
                </c:pt>
                <c:pt idx="1">
                  <c:v>11947524.492000001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17-4C5B-A7D4-FC67F16DC583}"/>
            </c:ext>
          </c:extLst>
        </c:ser>
        <c:ser>
          <c:idx val="4"/>
          <c:order val="4"/>
          <c:tx>
            <c:strRef>
              <c:f>'Total Emissions'!$B$111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Emissions'!$C$111,'Total Emissions'!$AH$111)</c:f>
              <c:numCache>
                <c:formatCode>General</c:formatCode>
                <c:ptCount val="2"/>
                <c:pt idx="0">
                  <c:v>8510024.0999999996</c:v>
                </c:pt>
                <c:pt idx="1">
                  <c:v>8514084.1999999993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17-4C5B-A7D4-FC67F16DC583}"/>
            </c:ext>
          </c:extLst>
        </c:ser>
        <c:ser>
          <c:idx val="5"/>
          <c:order val="5"/>
          <c:tx>
            <c:strRef>
              <c:f>'Total Emissions'!$B$117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Emissions'!$C$117,'Total Emissions'!$AH$117)</c:f>
              <c:numCache>
                <c:formatCode>General</c:formatCode>
                <c:ptCount val="2"/>
                <c:pt idx="0">
                  <c:v>7872484</c:v>
                </c:pt>
                <c:pt idx="1">
                  <c:v>7872484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17-4C5B-A7D4-FC67F16DC583}"/>
            </c:ext>
          </c:extLst>
        </c:ser>
        <c:ser>
          <c:idx val="6"/>
          <c:order val="6"/>
          <c:tx>
            <c:strRef>
              <c:f>'Total Emissions'!$B$113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Emissions'!$C$113,'Total Emissions'!$AH$113)</c:f>
              <c:numCache>
                <c:formatCode>General</c:formatCode>
                <c:ptCount val="2"/>
                <c:pt idx="0">
                  <c:v>6884914.7750000004</c:v>
                </c:pt>
                <c:pt idx="1">
                  <c:v>7076205.0369999995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17-4C5B-A7D4-FC67F16DC583}"/>
            </c:ext>
          </c:extLst>
        </c:ser>
        <c:ser>
          <c:idx val="7"/>
          <c:order val="7"/>
          <c:tx>
            <c:strRef>
              <c:f>'Total Emissions'!$B$119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Emissions'!$C$119,'Total Emissions'!$AH$119)</c:f>
              <c:numCache>
                <c:formatCode>General</c:formatCode>
                <c:ptCount val="2"/>
                <c:pt idx="0">
                  <c:v>5790901</c:v>
                </c:pt>
                <c:pt idx="1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17-4C5B-A7D4-FC67F16DC583}"/>
            </c:ext>
          </c:extLst>
        </c:ser>
        <c:ser>
          <c:idx val="8"/>
          <c:order val="8"/>
          <c:tx>
            <c:strRef>
              <c:f>'Total Emissions'!$B$120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Emissions'!$C$120,'Total Emissions'!$AH$120)</c:f>
              <c:numCache>
                <c:formatCode>General</c:formatCode>
                <c:ptCount val="2"/>
                <c:pt idx="0">
                  <c:v>3801677</c:v>
                </c:pt>
                <c:pt idx="1">
                  <c:v>3801677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17-4C5B-A7D4-FC67F16DC583}"/>
            </c:ext>
          </c:extLst>
        </c:ser>
        <c:ser>
          <c:idx val="9"/>
          <c:order val="9"/>
          <c:tx>
            <c:strRef>
              <c:f>'Total Emissions'!$B$121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Emissions'!$C$121,'Total Emissions'!$AH$121)</c:f>
              <c:numCache>
                <c:formatCode>General</c:formatCode>
                <c:ptCount val="2"/>
                <c:pt idx="0">
                  <c:v>729368.12510000006</c:v>
                </c:pt>
                <c:pt idx="1">
                  <c:v>760376.92509999999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F17-4C5B-A7D4-FC67F16DC583}"/>
            </c:ext>
          </c:extLst>
        </c:ser>
        <c:ser>
          <c:idx val="10"/>
          <c:order val="10"/>
          <c:tx>
            <c:strRef>
              <c:f>'Total Emissions'!$B$123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Emissions'!$C$123,'Total Emissions'!$AH$123)</c:f>
              <c:numCache>
                <c:formatCode>General</c:formatCode>
                <c:ptCount val="2"/>
                <c:pt idx="0">
                  <c:v>384783.25699999998</c:v>
                </c:pt>
                <c:pt idx="1">
                  <c:v>367271.25699999998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17-4C5B-A7D4-FC67F16DC583}"/>
            </c:ext>
          </c:extLst>
        </c:ser>
        <c:ser>
          <c:idx val="11"/>
          <c:order val="11"/>
          <c:tx>
            <c:strRef>
              <c:f>'Total Emissions'!$B$114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Emissions'!$C$114,'Total Emissions'!$AH$114)</c:f>
              <c:numCache>
                <c:formatCode>General</c:formatCode>
                <c:ptCount val="2"/>
                <c:pt idx="0">
                  <c:v>221100.7</c:v>
                </c:pt>
                <c:pt idx="1">
                  <c:v>221213.5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17-4C5B-A7D4-FC67F16DC583}"/>
            </c:ext>
          </c:extLst>
        </c:ser>
        <c:ser>
          <c:idx val="12"/>
          <c:order val="12"/>
          <c:tx>
            <c:strRef>
              <c:f>'Total Emissions'!$B$122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Emissions'!$C$54,'Total Emissions'!$AH$54)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Emissions'!$C$122,'Total Emissions'!$AH$122)</c:f>
              <c:numCache>
                <c:formatCode>General</c:formatCode>
                <c:ptCount val="2"/>
                <c:pt idx="0">
                  <c:v>147.99354122</c:v>
                </c:pt>
                <c:pt idx="1">
                  <c:v>147.99354124999999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F17-4C5B-A7D4-FC67F16D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10001"/>
        <c:axId val="50210002"/>
      </c:barChart>
      <c:catAx>
        <c:axId val="502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10002"/>
        <c:crosses val="autoZero"/>
        <c:auto val="1"/>
        <c:lblAlgn val="ctr"/>
        <c:lblOffset val="100"/>
        <c:noMultiLvlLbl val="0"/>
      </c:catAx>
      <c:valAx>
        <c:axId val="502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1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Emissions'!$D$127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Emissions'!$D$128:$D$141</c:f>
              <c:numCache>
                <c:formatCode>General</c:formatCode>
                <c:ptCount val="14"/>
                <c:pt idx="4">
                  <c:v>8031415</c:v>
                </c:pt>
                <c:pt idx="5">
                  <c:v>0</c:v>
                </c:pt>
                <c:pt idx="8">
                  <c:v>478609.1</c:v>
                </c:pt>
                <c:pt idx="9">
                  <c:v>212764.7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6-4839-8A27-C950644564B7}"/>
            </c:ext>
          </c:extLst>
        </c:ser>
        <c:ser>
          <c:idx val="1"/>
          <c:order val="1"/>
          <c:tx>
            <c:strRef>
              <c:f>'Total Emissions'!$E$127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Emissions'!$E$128:$E$141</c:f>
              <c:numCache>
                <c:formatCode>General</c:formatCode>
                <c:ptCount val="14"/>
                <c:pt idx="12">
                  <c:v>16213790</c:v>
                </c:pt>
                <c:pt idx="13">
                  <c:v>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6-4839-8A27-C950644564B7}"/>
            </c:ext>
          </c:extLst>
        </c:ser>
        <c:ser>
          <c:idx val="2"/>
          <c:order val="2"/>
          <c:tx>
            <c:strRef>
              <c:f>'Total Emissions'!$F$127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Emissions'!$F$128:$F$141</c:f>
              <c:numCache>
                <c:formatCode>General</c:formatCode>
                <c:ptCount val="14"/>
                <c:pt idx="2">
                  <c:v>3904.6860000000001</c:v>
                </c:pt>
                <c:pt idx="3">
                  <c:v>2942.9369999999999</c:v>
                </c:pt>
                <c:pt idx="4">
                  <c:v>7151.9889999999996</c:v>
                </c:pt>
                <c:pt idx="5">
                  <c:v>0</c:v>
                </c:pt>
                <c:pt idx="8">
                  <c:v>6515463</c:v>
                </c:pt>
                <c:pt idx="9">
                  <c:v>1703980</c:v>
                </c:pt>
                <c:pt idx="10">
                  <c:v>358395.1</c:v>
                </c:pt>
                <c:pt idx="11">
                  <c:v>653.29949999999997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06-4839-8A27-C950644564B7}"/>
            </c:ext>
          </c:extLst>
        </c:ser>
        <c:ser>
          <c:idx val="3"/>
          <c:order val="3"/>
          <c:tx>
            <c:strRef>
              <c:f>'Total Emissions'!$G$127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Emissions'!$G$128:$G$141</c:f>
              <c:numCache>
                <c:formatCode>General</c:formatCode>
                <c:ptCount val="14"/>
                <c:pt idx="6">
                  <c:v>221100.7</c:v>
                </c:pt>
                <c:pt idx="7">
                  <c:v>53563.99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06-4839-8A27-C950644564B7}"/>
            </c:ext>
          </c:extLst>
        </c:ser>
        <c:ser>
          <c:idx val="4"/>
          <c:order val="4"/>
          <c:tx>
            <c:strRef>
              <c:f>'Total Emissions'!$H$127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Emissions'!$H$128:$H$141</c:f>
              <c:numCache>
                <c:formatCode>General</c:formatCode>
                <c:ptCount val="14"/>
                <c:pt idx="12">
                  <c:v>24286310</c:v>
                </c:pt>
                <c:pt idx="13">
                  <c:v>40572.46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06-4839-8A27-C950644564B7}"/>
            </c:ext>
          </c:extLst>
        </c:ser>
        <c:ser>
          <c:idx val="5"/>
          <c:order val="5"/>
          <c:tx>
            <c:strRef>
              <c:f>'Total Emissions'!$I$127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Emissions'!$I$128:$I$141</c:f>
              <c:numCache>
                <c:formatCode>General</c:formatCode>
                <c:ptCount val="14"/>
                <c:pt idx="2">
                  <c:v>4046579</c:v>
                </c:pt>
                <c:pt idx="3">
                  <c:v>156927.31400000001</c:v>
                </c:pt>
                <c:pt idx="8">
                  <c:v>1637439.62</c:v>
                </c:pt>
                <c:pt idx="9">
                  <c:v>302948.39</c:v>
                </c:pt>
                <c:pt idx="10">
                  <c:v>4083313</c:v>
                </c:pt>
                <c:pt idx="11">
                  <c:v>146178.111</c:v>
                </c:pt>
                <c:pt idx="12">
                  <c:v>19106.893400000001</c:v>
                </c:pt>
                <c:pt idx="13">
                  <c:v>148695.935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06-4839-8A27-C950644564B7}"/>
            </c:ext>
          </c:extLst>
        </c:ser>
        <c:ser>
          <c:idx val="6"/>
          <c:order val="6"/>
          <c:tx>
            <c:strRef>
              <c:f>'Total Emissions'!$J$127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Emissions'!$J$128:$J$141</c:f>
              <c:numCache>
                <c:formatCode>General</c:formatCode>
                <c:ptCount val="14"/>
                <c:pt idx="12">
                  <c:v>7872484</c:v>
                </c:pt>
                <c:pt idx="13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06-4839-8A27-C950644564B7}"/>
            </c:ext>
          </c:extLst>
        </c:ser>
        <c:ser>
          <c:idx val="7"/>
          <c:order val="7"/>
          <c:tx>
            <c:strRef>
              <c:f>'Total Emissions'!$K$127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Emissions'!$K$128:$K$141</c:f>
              <c:numCache>
                <c:formatCode>General</c:formatCode>
                <c:ptCount val="14"/>
                <c:pt idx="0">
                  <c:v>378606.2</c:v>
                </c:pt>
                <c:pt idx="1">
                  <c:v>9.0266740000000002E-3</c:v>
                </c:pt>
                <c:pt idx="2">
                  <c:v>3680473</c:v>
                </c:pt>
                <c:pt idx="3">
                  <c:v>2.5265449999999998E-2</c:v>
                </c:pt>
                <c:pt idx="4">
                  <c:v>7140349</c:v>
                </c:pt>
                <c:pt idx="5">
                  <c:v>1.7337700000000001E-2</c:v>
                </c:pt>
                <c:pt idx="8">
                  <c:v>5588565</c:v>
                </c:pt>
                <c:pt idx="9">
                  <c:v>4.6827559999999997E-2</c:v>
                </c:pt>
                <c:pt idx="10">
                  <c:v>4838560</c:v>
                </c:pt>
                <c:pt idx="11">
                  <c:v>7.4693119999999997E-3</c:v>
                </c:pt>
                <c:pt idx="12">
                  <c:v>10900.92</c:v>
                </c:pt>
                <c:pt idx="13">
                  <c:v>8720.7330000000002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06-4839-8A27-C950644564B7}"/>
            </c:ext>
          </c:extLst>
        </c:ser>
        <c:ser>
          <c:idx val="8"/>
          <c:order val="8"/>
          <c:tx>
            <c:strRef>
              <c:f>'Total Emissions'!$L$127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Emissions'!$L$128:$L$141</c:f>
              <c:numCache>
                <c:formatCode>General</c:formatCode>
                <c:ptCount val="14"/>
                <c:pt idx="8">
                  <c:v>5790901</c:v>
                </c:pt>
                <c:pt idx="9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06-4839-8A27-C950644564B7}"/>
            </c:ext>
          </c:extLst>
        </c:ser>
        <c:ser>
          <c:idx val="9"/>
          <c:order val="9"/>
          <c:tx>
            <c:strRef>
              <c:f>'Total Emissions'!$M$127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Emissions'!$M$128:$M$141</c:f>
              <c:numCache>
                <c:formatCode>General</c:formatCode>
                <c:ptCount val="14"/>
                <c:pt idx="4">
                  <c:v>3801677</c:v>
                </c:pt>
                <c:pt idx="5">
                  <c:v>2765585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06-4839-8A27-C950644564B7}"/>
            </c:ext>
          </c:extLst>
        </c:ser>
        <c:ser>
          <c:idx val="10"/>
          <c:order val="10"/>
          <c:tx>
            <c:strRef>
              <c:f>'Total Emissions'!$N$127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Emissions'!$N$128:$N$141</c:f>
              <c:numCache>
                <c:formatCode>General</c:formatCode>
                <c:ptCount val="14"/>
                <c:pt idx="2">
                  <c:v>168647.1</c:v>
                </c:pt>
                <c:pt idx="3">
                  <c:v>81053.710000000006</c:v>
                </c:pt>
                <c:pt idx="4">
                  <c:v>329.69909999999999</c:v>
                </c:pt>
                <c:pt idx="5">
                  <c:v>112.0759</c:v>
                </c:pt>
                <c:pt idx="8">
                  <c:v>269797.7</c:v>
                </c:pt>
                <c:pt idx="9">
                  <c:v>96923.77</c:v>
                </c:pt>
                <c:pt idx="10">
                  <c:v>284833.40000000002</c:v>
                </c:pt>
                <c:pt idx="11">
                  <c:v>626.13620000000003</c:v>
                </c:pt>
                <c:pt idx="12">
                  <c:v>5760.2259999999997</c:v>
                </c:pt>
                <c:pt idx="13">
                  <c:v>5760.2259999999997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06-4839-8A27-C950644564B7}"/>
            </c:ext>
          </c:extLst>
        </c:ser>
        <c:ser>
          <c:idx val="11"/>
          <c:order val="11"/>
          <c:tx>
            <c:strRef>
              <c:f>'Total Emissions'!$O$127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Emissions'!$O$128:$O$141</c:f>
              <c:numCache>
                <c:formatCode>General</c:formatCode>
                <c:ptCount val="14"/>
                <c:pt idx="0">
                  <c:v>111.65989999999999</c:v>
                </c:pt>
                <c:pt idx="1">
                  <c:v>498.14980000000003</c:v>
                </c:pt>
                <c:pt idx="2">
                  <c:v>9.7747050000000009</c:v>
                </c:pt>
                <c:pt idx="3">
                  <c:v>1091.5070000000001</c:v>
                </c:pt>
                <c:pt idx="4">
                  <c:v>26.465170000000001</c:v>
                </c:pt>
                <c:pt idx="5">
                  <c:v>768.80349999999999</c:v>
                </c:pt>
                <c:pt idx="8">
                  <c:v>9.3766219999999997E-2</c:v>
                </c:pt>
                <c:pt idx="9">
                  <c:v>2005.126</c:v>
                </c:pt>
                <c:pt idx="10">
                  <c:v>0</c:v>
                </c:pt>
                <c:pt idx="11">
                  <c:v>319.80919999999998</c:v>
                </c:pt>
                <c:pt idx="12">
                  <c:v>0</c:v>
                </c:pt>
                <c:pt idx="13">
                  <c:v>226426.2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06-4839-8A27-C950644564B7}"/>
            </c:ext>
          </c:extLst>
        </c:ser>
        <c:ser>
          <c:idx val="12"/>
          <c:order val="12"/>
          <c:tx>
            <c:strRef>
              <c:f>'Total Emissions'!$P$127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Emissions'!$B$128:$C$141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Emissions'!$P$128:$P$141</c:f>
              <c:numCache>
                <c:formatCode>General</c:formatCode>
                <c:ptCount val="14"/>
                <c:pt idx="4">
                  <c:v>9198.0570000000007</c:v>
                </c:pt>
                <c:pt idx="5">
                  <c:v>9198.0570000000007</c:v>
                </c:pt>
                <c:pt idx="8">
                  <c:v>196151.5</c:v>
                </c:pt>
                <c:pt idx="9">
                  <c:v>161653.20000000001</c:v>
                </c:pt>
                <c:pt idx="10">
                  <c:v>179433.7</c:v>
                </c:pt>
                <c:pt idx="11">
                  <c:v>376.68709999999999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06-4839-8A27-C95064456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20001"/>
        <c:axId val="50220002"/>
      </c:barChart>
      <c:catAx>
        <c:axId val="502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20002"/>
        <c:crosses val="autoZero"/>
        <c:auto val="1"/>
        <c:lblAlgn val="ctr"/>
        <c:lblOffset val="100"/>
        <c:noMultiLvlLbl val="0"/>
      </c:catAx>
      <c:valAx>
        <c:axId val="502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Emissions'!$D$127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Emissions'!$D$142:$D$155</c:f>
              <c:numCache>
                <c:formatCode>General</c:formatCode>
                <c:ptCount val="14"/>
                <c:pt idx="4">
                  <c:v>8031415</c:v>
                </c:pt>
                <c:pt idx="5">
                  <c:v>0</c:v>
                </c:pt>
                <c:pt idx="8">
                  <c:v>478609.1</c:v>
                </c:pt>
                <c:pt idx="9">
                  <c:v>130097.7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E-4DDC-98DF-4DA66CDBDFD9}"/>
            </c:ext>
          </c:extLst>
        </c:ser>
        <c:ser>
          <c:idx val="1"/>
          <c:order val="1"/>
          <c:tx>
            <c:strRef>
              <c:f>'Total Emissions'!$E$127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Emissions'!$E$142:$E$155</c:f>
              <c:numCache>
                <c:formatCode>General</c:formatCode>
                <c:ptCount val="14"/>
                <c:pt idx="12">
                  <c:v>16213790</c:v>
                </c:pt>
                <c:pt idx="13">
                  <c:v>4833335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E-4DDC-98DF-4DA66CDBDFD9}"/>
            </c:ext>
          </c:extLst>
        </c:ser>
        <c:ser>
          <c:idx val="2"/>
          <c:order val="2"/>
          <c:tx>
            <c:strRef>
              <c:f>'Total Emissions'!$F$127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Emissions'!$F$142:$F$155</c:f>
              <c:numCache>
                <c:formatCode>General</c:formatCode>
                <c:ptCount val="14"/>
                <c:pt idx="2">
                  <c:v>3904.6860000000001</c:v>
                </c:pt>
                <c:pt idx="3">
                  <c:v>248.65729999999999</c:v>
                </c:pt>
                <c:pt idx="4">
                  <c:v>7151.9889999999996</c:v>
                </c:pt>
                <c:pt idx="5">
                  <c:v>0</c:v>
                </c:pt>
                <c:pt idx="8">
                  <c:v>6515463</c:v>
                </c:pt>
                <c:pt idx="9">
                  <c:v>2238102</c:v>
                </c:pt>
                <c:pt idx="10">
                  <c:v>358395.1</c:v>
                </c:pt>
                <c:pt idx="11">
                  <c:v>10070.91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2E-4DDC-98DF-4DA66CDBDFD9}"/>
            </c:ext>
          </c:extLst>
        </c:ser>
        <c:ser>
          <c:idx val="3"/>
          <c:order val="3"/>
          <c:tx>
            <c:strRef>
              <c:f>'Total Emissions'!$G$127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Emissions'!$G$142:$G$155</c:f>
              <c:numCache>
                <c:formatCode>General</c:formatCode>
                <c:ptCount val="14"/>
                <c:pt idx="6">
                  <c:v>221100.7</c:v>
                </c:pt>
                <c:pt idx="7">
                  <c:v>110713.5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2E-4DDC-98DF-4DA66CDBDFD9}"/>
            </c:ext>
          </c:extLst>
        </c:ser>
        <c:ser>
          <c:idx val="4"/>
          <c:order val="4"/>
          <c:tx>
            <c:strRef>
              <c:f>'Total Emissions'!$H$127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Emissions'!$H$142:$H$155</c:f>
              <c:numCache>
                <c:formatCode>General</c:formatCode>
                <c:ptCount val="14"/>
                <c:pt idx="12">
                  <c:v>24286310</c:v>
                </c:pt>
                <c:pt idx="13">
                  <c:v>215622.3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2E-4DDC-98DF-4DA66CDBDFD9}"/>
            </c:ext>
          </c:extLst>
        </c:ser>
        <c:ser>
          <c:idx val="5"/>
          <c:order val="5"/>
          <c:tx>
            <c:strRef>
              <c:f>'Total Emissions'!$I$127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Emissions'!$I$142:$I$155</c:f>
              <c:numCache>
                <c:formatCode>General</c:formatCode>
                <c:ptCount val="14"/>
                <c:pt idx="2">
                  <c:v>4046579</c:v>
                </c:pt>
                <c:pt idx="3">
                  <c:v>218198.52</c:v>
                </c:pt>
                <c:pt idx="8">
                  <c:v>1637439.62</c:v>
                </c:pt>
                <c:pt idx="9">
                  <c:v>106693.33199999999</c:v>
                </c:pt>
                <c:pt idx="10">
                  <c:v>4083313</c:v>
                </c:pt>
                <c:pt idx="11">
                  <c:v>241306.6</c:v>
                </c:pt>
                <c:pt idx="12">
                  <c:v>19106.893400000001</c:v>
                </c:pt>
                <c:pt idx="13">
                  <c:v>188551.20699999999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2E-4DDC-98DF-4DA66CDBDFD9}"/>
            </c:ext>
          </c:extLst>
        </c:ser>
        <c:ser>
          <c:idx val="6"/>
          <c:order val="6"/>
          <c:tx>
            <c:strRef>
              <c:f>'Total Emissions'!$J$127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Emissions'!$J$142:$J$155</c:f>
              <c:numCache>
                <c:formatCode>General</c:formatCode>
                <c:ptCount val="14"/>
                <c:pt idx="12">
                  <c:v>7872484</c:v>
                </c:pt>
                <c:pt idx="13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2E-4DDC-98DF-4DA66CDBDFD9}"/>
            </c:ext>
          </c:extLst>
        </c:ser>
        <c:ser>
          <c:idx val="7"/>
          <c:order val="7"/>
          <c:tx>
            <c:strRef>
              <c:f>'Total Emissions'!$K$127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Emissions'!$K$142:$K$155</c:f>
              <c:numCache>
                <c:formatCode>General</c:formatCode>
                <c:ptCount val="14"/>
                <c:pt idx="0">
                  <c:v>378606.2</c:v>
                </c:pt>
                <c:pt idx="1">
                  <c:v>378606.2</c:v>
                </c:pt>
                <c:pt idx="2">
                  <c:v>3680473</c:v>
                </c:pt>
                <c:pt idx="3">
                  <c:v>161687.79999999999</c:v>
                </c:pt>
                <c:pt idx="4">
                  <c:v>7140349</c:v>
                </c:pt>
                <c:pt idx="5">
                  <c:v>95665.34</c:v>
                </c:pt>
                <c:pt idx="8">
                  <c:v>5588565</c:v>
                </c:pt>
                <c:pt idx="9">
                  <c:v>1777442</c:v>
                </c:pt>
                <c:pt idx="10">
                  <c:v>4838560</c:v>
                </c:pt>
                <c:pt idx="11">
                  <c:v>117736.9</c:v>
                </c:pt>
                <c:pt idx="12">
                  <c:v>10900.92</c:v>
                </c:pt>
                <c:pt idx="13">
                  <c:v>697.65859999999998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2E-4DDC-98DF-4DA66CDBDFD9}"/>
            </c:ext>
          </c:extLst>
        </c:ser>
        <c:ser>
          <c:idx val="8"/>
          <c:order val="8"/>
          <c:tx>
            <c:strRef>
              <c:f>'Total Emissions'!$L$127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Emissions'!$L$142:$L$155</c:f>
              <c:numCache>
                <c:formatCode>General</c:formatCode>
                <c:ptCount val="14"/>
                <c:pt idx="8">
                  <c:v>5790901</c:v>
                </c:pt>
                <c:pt idx="9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2E-4DDC-98DF-4DA66CDBDFD9}"/>
            </c:ext>
          </c:extLst>
        </c:ser>
        <c:ser>
          <c:idx val="9"/>
          <c:order val="9"/>
          <c:tx>
            <c:strRef>
              <c:f>'Total Emissions'!$M$127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Emissions'!$M$142:$M$155</c:f>
              <c:numCache>
                <c:formatCode>General</c:formatCode>
                <c:ptCount val="14"/>
                <c:pt idx="4">
                  <c:v>3801677</c:v>
                </c:pt>
                <c:pt idx="5">
                  <c:v>3801677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2E-4DDC-98DF-4DA66CDBDFD9}"/>
            </c:ext>
          </c:extLst>
        </c:ser>
        <c:ser>
          <c:idx val="10"/>
          <c:order val="10"/>
          <c:tx>
            <c:strRef>
              <c:f>'Total Emissions'!$N$127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Emissions'!$N$142:$N$155</c:f>
              <c:numCache>
                <c:formatCode>General</c:formatCode>
                <c:ptCount val="14"/>
                <c:pt idx="2">
                  <c:v>168647.1</c:v>
                </c:pt>
                <c:pt idx="3">
                  <c:v>9397.2919999999995</c:v>
                </c:pt>
                <c:pt idx="4">
                  <c:v>329.69909999999999</c:v>
                </c:pt>
                <c:pt idx="5">
                  <c:v>26.375920000000001</c:v>
                </c:pt>
                <c:pt idx="8">
                  <c:v>269797.7</c:v>
                </c:pt>
                <c:pt idx="9">
                  <c:v>96239.360000000001</c:v>
                </c:pt>
                <c:pt idx="10">
                  <c:v>284833.40000000002</c:v>
                </c:pt>
                <c:pt idx="11">
                  <c:v>7442.3869999999997</c:v>
                </c:pt>
                <c:pt idx="12">
                  <c:v>5760.2259999999997</c:v>
                </c:pt>
                <c:pt idx="13">
                  <c:v>460.81810000000002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2E-4DDC-98DF-4DA66CDBDFD9}"/>
            </c:ext>
          </c:extLst>
        </c:ser>
        <c:ser>
          <c:idx val="11"/>
          <c:order val="11"/>
          <c:tx>
            <c:strRef>
              <c:f>'Total Emissions'!$O$127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Emissions'!$O$142:$O$155</c:f>
              <c:numCache>
                <c:formatCode>General</c:formatCode>
                <c:ptCount val="14"/>
                <c:pt idx="0">
                  <c:v>111.65989999999999</c:v>
                </c:pt>
                <c:pt idx="1">
                  <c:v>111.65989999999999</c:v>
                </c:pt>
                <c:pt idx="2">
                  <c:v>9.7747050000000009</c:v>
                </c:pt>
                <c:pt idx="3">
                  <c:v>9.7422830000000005</c:v>
                </c:pt>
                <c:pt idx="4">
                  <c:v>26.465170000000001</c:v>
                </c:pt>
                <c:pt idx="5">
                  <c:v>26.465170000000001</c:v>
                </c:pt>
                <c:pt idx="8">
                  <c:v>9.3766219999999997E-2</c:v>
                </c:pt>
                <c:pt idx="9">
                  <c:v>0.1261883</c:v>
                </c:pt>
                <c:pt idx="12">
                  <c:v>0</c:v>
                </c:pt>
                <c:pt idx="13">
                  <c:v>317.51609999999999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2E-4DDC-98DF-4DA66CDBDFD9}"/>
            </c:ext>
          </c:extLst>
        </c:ser>
        <c:ser>
          <c:idx val="12"/>
          <c:order val="12"/>
          <c:tx>
            <c:strRef>
              <c:f>'Total Emissions'!$P$127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Emissions'!$B$142:$C$155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Emissions'!$P$142:$P$155</c:f>
              <c:numCache>
                <c:formatCode>General</c:formatCode>
                <c:ptCount val="14"/>
                <c:pt idx="4">
                  <c:v>9198.0570000000007</c:v>
                </c:pt>
                <c:pt idx="5">
                  <c:v>9198.0570000000007</c:v>
                </c:pt>
                <c:pt idx="8">
                  <c:v>196151.5</c:v>
                </c:pt>
                <c:pt idx="9">
                  <c:v>198693.8</c:v>
                </c:pt>
                <c:pt idx="10">
                  <c:v>179433.7</c:v>
                </c:pt>
                <c:pt idx="11">
                  <c:v>35672.22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2E-4DDC-98DF-4DA66CDBD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30001"/>
        <c:axId val="50230002"/>
      </c:barChart>
      <c:catAx>
        <c:axId val="502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30002"/>
        <c:crosses val="autoZero"/>
        <c:auto val="1"/>
        <c:lblAlgn val="ctr"/>
        <c:lblOffset val="100"/>
        <c:noMultiLvlLbl val="0"/>
      </c:catAx>
      <c:valAx>
        <c:axId val="502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3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Emissions'!$D$127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Emissions'!$D$156:$D$169</c:f>
              <c:numCache>
                <c:formatCode>General</c:formatCode>
                <c:ptCount val="14"/>
                <c:pt idx="4">
                  <c:v>8031415</c:v>
                </c:pt>
                <c:pt idx="5">
                  <c:v>8031415</c:v>
                </c:pt>
                <c:pt idx="8">
                  <c:v>478609.1</c:v>
                </c:pt>
                <c:pt idx="9">
                  <c:v>482669.2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2-4F20-8AFD-828F4AA4A533}"/>
            </c:ext>
          </c:extLst>
        </c:ser>
        <c:ser>
          <c:idx val="1"/>
          <c:order val="1"/>
          <c:tx>
            <c:strRef>
              <c:f>'Total Emissions'!$E$127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Emissions'!$E$156:$E$169</c:f>
              <c:numCache>
                <c:formatCode>General</c:formatCode>
                <c:ptCount val="14"/>
                <c:pt idx="12">
                  <c:v>16213790</c:v>
                </c:pt>
                <c:pt idx="13">
                  <c:v>15417470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2-4F20-8AFD-828F4AA4A533}"/>
            </c:ext>
          </c:extLst>
        </c:ser>
        <c:ser>
          <c:idx val="2"/>
          <c:order val="2"/>
          <c:tx>
            <c:strRef>
              <c:f>'Total Emissions'!$F$127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Emissions'!$F$156:$F$169</c:f>
              <c:numCache>
                <c:formatCode>General</c:formatCode>
                <c:ptCount val="14"/>
                <c:pt idx="2">
                  <c:v>3904.6860000000001</c:v>
                </c:pt>
                <c:pt idx="3">
                  <c:v>4480.9480000000003</c:v>
                </c:pt>
                <c:pt idx="4">
                  <c:v>7151.9889999999996</c:v>
                </c:pt>
                <c:pt idx="5">
                  <c:v>7151.9889999999996</c:v>
                </c:pt>
                <c:pt idx="8">
                  <c:v>6515463</c:v>
                </c:pt>
                <c:pt idx="9">
                  <c:v>6711130</c:v>
                </c:pt>
                <c:pt idx="10">
                  <c:v>358395.1</c:v>
                </c:pt>
                <c:pt idx="11">
                  <c:v>353442.1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72-4F20-8AFD-828F4AA4A533}"/>
            </c:ext>
          </c:extLst>
        </c:ser>
        <c:ser>
          <c:idx val="3"/>
          <c:order val="3"/>
          <c:tx>
            <c:strRef>
              <c:f>'Total Emissions'!$G$127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Emissions'!$G$156:$G$169</c:f>
              <c:numCache>
                <c:formatCode>General</c:formatCode>
                <c:ptCount val="14"/>
                <c:pt idx="6">
                  <c:v>221100.7</c:v>
                </c:pt>
                <c:pt idx="7">
                  <c:v>221213.5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72-4F20-8AFD-828F4AA4A533}"/>
            </c:ext>
          </c:extLst>
        </c:ser>
        <c:ser>
          <c:idx val="4"/>
          <c:order val="4"/>
          <c:tx>
            <c:strRef>
              <c:f>'Total Emissions'!$H$127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Emissions'!$H$156:$H$169</c:f>
              <c:numCache>
                <c:formatCode>General</c:formatCode>
                <c:ptCount val="14"/>
                <c:pt idx="12">
                  <c:v>24286310</c:v>
                </c:pt>
                <c:pt idx="13">
                  <c:v>20078370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72-4F20-8AFD-828F4AA4A533}"/>
            </c:ext>
          </c:extLst>
        </c:ser>
        <c:ser>
          <c:idx val="5"/>
          <c:order val="5"/>
          <c:tx>
            <c:strRef>
              <c:f>'Total Emissions'!$I$127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Emissions'!$I$156:$I$169</c:f>
              <c:numCache>
                <c:formatCode>General</c:formatCode>
                <c:ptCount val="14"/>
                <c:pt idx="2">
                  <c:v>4046579</c:v>
                </c:pt>
                <c:pt idx="3">
                  <c:v>4985211.3</c:v>
                </c:pt>
                <c:pt idx="8">
                  <c:v>1637439.62</c:v>
                </c:pt>
                <c:pt idx="9">
                  <c:v>1851910.98</c:v>
                </c:pt>
                <c:pt idx="10">
                  <c:v>4083313</c:v>
                </c:pt>
                <c:pt idx="11">
                  <c:v>5029574.2</c:v>
                </c:pt>
                <c:pt idx="12">
                  <c:v>19106.893400000001</c:v>
                </c:pt>
                <c:pt idx="13">
                  <c:v>80828.011999999988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72-4F20-8AFD-828F4AA4A533}"/>
            </c:ext>
          </c:extLst>
        </c:ser>
        <c:ser>
          <c:idx val="6"/>
          <c:order val="6"/>
          <c:tx>
            <c:strRef>
              <c:f>'Total Emissions'!$J$127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Emissions'!$J$156:$J$169</c:f>
              <c:numCache>
                <c:formatCode>General</c:formatCode>
                <c:ptCount val="14"/>
                <c:pt idx="12">
                  <c:v>7872484</c:v>
                </c:pt>
                <c:pt idx="13">
                  <c:v>7872484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72-4F20-8AFD-828F4AA4A533}"/>
            </c:ext>
          </c:extLst>
        </c:ser>
        <c:ser>
          <c:idx val="7"/>
          <c:order val="7"/>
          <c:tx>
            <c:strRef>
              <c:f>'Total Emissions'!$K$127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Emissions'!$K$156:$K$169</c:f>
              <c:numCache>
                <c:formatCode>General</c:formatCode>
                <c:ptCount val="14"/>
                <c:pt idx="0">
                  <c:v>378606.2</c:v>
                </c:pt>
                <c:pt idx="1">
                  <c:v>378606.2</c:v>
                </c:pt>
                <c:pt idx="2">
                  <c:v>3680473</c:v>
                </c:pt>
                <c:pt idx="3">
                  <c:v>3483139</c:v>
                </c:pt>
                <c:pt idx="4">
                  <c:v>7140349</c:v>
                </c:pt>
                <c:pt idx="5">
                  <c:v>7140349</c:v>
                </c:pt>
                <c:pt idx="8">
                  <c:v>5588565</c:v>
                </c:pt>
                <c:pt idx="9">
                  <c:v>5707719</c:v>
                </c:pt>
                <c:pt idx="10">
                  <c:v>4838560</c:v>
                </c:pt>
                <c:pt idx="11">
                  <c:v>4927836</c:v>
                </c:pt>
                <c:pt idx="12">
                  <c:v>10900.92</c:v>
                </c:pt>
                <c:pt idx="13">
                  <c:v>10900.92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72-4F20-8AFD-828F4AA4A533}"/>
            </c:ext>
          </c:extLst>
        </c:ser>
        <c:ser>
          <c:idx val="8"/>
          <c:order val="8"/>
          <c:tx>
            <c:strRef>
              <c:f>'Total Emissions'!$L$127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Emissions'!$L$156:$L$169</c:f>
              <c:numCache>
                <c:formatCode>General</c:formatCode>
                <c:ptCount val="14"/>
                <c:pt idx="8">
                  <c:v>5790901</c:v>
                </c:pt>
                <c:pt idx="9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72-4F20-8AFD-828F4AA4A533}"/>
            </c:ext>
          </c:extLst>
        </c:ser>
        <c:ser>
          <c:idx val="9"/>
          <c:order val="9"/>
          <c:tx>
            <c:strRef>
              <c:f>'Total Emissions'!$M$127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Emissions'!$M$156:$M$169</c:f>
              <c:numCache>
                <c:formatCode>General</c:formatCode>
                <c:ptCount val="14"/>
                <c:pt idx="4">
                  <c:v>3801677</c:v>
                </c:pt>
                <c:pt idx="5">
                  <c:v>3801677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72-4F20-8AFD-828F4AA4A533}"/>
            </c:ext>
          </c:extLst>
        </c:ser>
        <c:ser>
          <c:idx val="10"/>
          <c:order val="10"/>
          <c:tx>
            <c:strRef>
              <c:f>'Total Emissions'!$N$127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Emissions'!$N$156:$N$169</c:f>
              <c:numCache>
                <c:formatCode>General</c:formatCode>
                <c:ptCount val="14"/>
                <c:pt idx="2">
                  <c:v>168647.1</c:v>
                </c:pt>
                <c:pt idx="3">
                  <c:v>180859</c:v>
                </c:pt>
                <c:pt idx="4">
                  <c:v>329.69909999999999</c:v>
                </c:pt>
                <c:pt idx="5">
                  <c:v>329.69909999999999</c:v>
                </c:pt>
                <c:pt idx="8">
                  <c:v>269797.7</c:v>
                </c:pt>
                <c:pt idx="9">
                  <c:v>278839.90000000002</c:v>
                </c:pt>
                <c:pt idx="10">
                  <c:v>284833.40000000002</c:v>
                </c:pt>
                <c:pt idx="11">
                  <c:v>294588.09999999998</c:v>
                </c:pt>
                <c:pt idx="12">
                  <c:v>5760.2259999999997</c:v>
                </c:pt>
                <c:pt idx="13">
                  <c:v>5760.2259999999997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72-4F20-8AFD-828F4AA4A533}"/>
            </c:ext>
          </c:extLst>
        </c:ser>
        <c:ser>
          <c:idx val="11"/>
          <c:order val="11"/>
          <c:tx>
            <c:strRef>
              <c:f>'Total Emissions'!$O$127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Emissions'!$O$156:$O$169</c:f>
              <c:numCache>
                <c:formatCode>General</c:formatCode>
                <c:ptCount val="14"/>
                <c:pt idx="0">
                  <c:v>111.65989999999999</c:v>
                </c:pt>
                <c:pt idx="1">
                  <c:v>111.65989999999999</c:v>
                </c:pt>
                <c:pt idx="2">
                  <c:v>9.7747050000000009</c:v>
                </c:pt>
                <c:pt idx="3">
                  <c:v>9.7774260000000002</c:v>
                </c:pt>
                <c:pt idx="4">
                  <c:v>26.465170000000001</c:v>
                </c:pt>
                <c:pt idx="5">
                  <c:v>26.465170000000001</c:v>
                </c:pt>
                <c:pt idx="8">
                  <c:v>9.3766219999999997E-2</c:v>
                </c:pt>
                <c:pt idx="9">
                  <c:v>9.1045249999999994E-2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72-4F20-8AFD-828F4AA4A533}"/>
            </c:ext>
          </c:extLst>
        </c:ser>
        <c:ser>
          <c:idx val="12"/>
          <c:order val="12"/>
          <c:tx>
            <c:strRef>
              <c:f>'Total Emissions'!$P$127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Emissions'!$B$156:$C$169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Emissions'!$P$156:$P$169</c:f>
              <c:numCache>
                <c:formatCode>General</c:formatCode>
                <c:ptCount val="14"/>
                <c:pt idx="4">
                  <c:v>9198.0570000000007</c:v>
                </c:pt>
                <c:pt idx="5">
                  <c:v>9198.0570000000007</c:v>
                </c:pt>
                <c:pt idx="8">
                  <c:v>196151.5</c:v>
                </c:pt>
                <c:pt idx="9">
                  <c:v>198693.8</c:v>
                </c:pt>
                <c:pt idx="10">
                  <c:v>179433.7</c:v>
                </c:pt>
                <c:pt idx="11">
                  <c:v>159379.4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72-4F20-8AFD-828F4AA4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40001"/>
        <c:axId val="50240002"/>
      </c:barChart>
      <c:catAx>
        <c:axId val="502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40002"/>
        <c:crosses val="autoZero"/>
        <c:auto val="1"/>
        <c:lblAlgn val="ctr"/>
        <c:lblOffset val="100"/>
        <c:noMultiLvlLbl val="0"/>
      </c:catAx>
      <c:valAx>
        <c:axId val="502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4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Emissions'!$D$127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Emissions'!$D$170:$D$183</c:f>
              <c:numCache>
                <c:formatCode>General</c:formatCode>
                <c:ptCount val="14"/>
                <c:pt idx="4">
                  <c:v>8031415</c:v>
                </c:pt>
                <c:pt idx="5">
                  <c:v>0</c:v>
                </c:pt>
                <c:pt idx="8">
                  <c:v>478609.1</c:v>
                </c:pt>
                <c:pt idx="9">
                  <c:v>383073.8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2-4236-9EE0-D12646787B00}"/>
            </c:ext>
          </c:extLst>
        </c:ser>
        <c:ser>
          <c:idx val="1"/>
          <c:order val="1"/>
          <c:tx>
            <c:strRef>
              <c:f>'Total Emissions'!$E$127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Emissions'!$E$170:$E$183</c:f>
              <c:numCache>
                <c:formatCode>General</c:formatCode>
                <c:ptCount val="14"/>
                <c:pt idx="12">
                  <c:v>16213790</c:v>
                </c:pt>
                <c:pt idx="13">
                  <c:v>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2-4236-9EE0-D12646787B00}"/>
            </c:ext>
          </c:extLst>
        </c:ser>
        <c:ser>
          <c:idx val="2"/>
          <c:order val="2"/>
          <c:tx>
            <c:strRef>
              <c:f>'Total Emissions'!$F$127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Emissions'!$F$170:$F$183</c:f>
              <c:numCache>
                <c:formatCode>General</c:formatCode>
                <c:ptCount val="14"/>
                <c:pt idx="2">
                  <c:v>3904.6860000000001</c:v>
                </c:pt>
                <c:pt idx="3">
                  <c:v>2881.1080000000002</c:v>
                </c:pt>
                <c:pt idx="4">
                  <c:v>7151.9889999999996</c:v>
                </c:pt>
                <c:pt idx="5">
                  <c:v>0</c:v>
                </c:pt>
                <c:pt idx="8">
                  <c:v>6515463</c:v>
                </c:pt>
                <c:pt idx="9">
                  <c:v>2416197</c:v>
                </c:pt>
                <c:pt idx="10">
                  <c:v>358395.1</c:v>
                </c:pt>
                <c:pt idx="11">
                  <c:v>656.29989999999998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2-4236-9EE0-D12646787B00}"/>
            </c:ext>
          </c:extLst>
        </c:ser>
        <c:ser>
          <c:idx val="3"/>
          <c:order val="3"/>
          <c:tx>
            <c:strRef>
              <c:f>'Total Emissions'!$G$127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Emissions'!$G$170:$G$183</c:f>
              <c:numCache>
                <c:formatCode>General</c:formatCode>
                <c:ptCount val="14"/>
                <c:pt idx="6">
                  <c:v>221100.7</c:v>
                </c:pt>
                <c:pt idx="7">
                  <c:v>40845.61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02-4236-9EE0-D12646787B00}"/>
            </c:ext>
          </c:extLst>
        </c:ser>
        <c:ser>
          <c:idx val="4"/>
          <c:order val="4"/>
          <c:tx>
            <c:strRef>
              <c:f>'Total Emissions'!$H$127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Emissions'!$H$170:$H$183</c:f>
              <c:numCache>
                <c:formatCode>General</c:formatCode>
                <c:ptCount val="14"/>
                <c:pt idx="12">
                  <c:v>24286310</c:v>
                </c:pt>
                <c:pt idx="13">
                  <c:v>40572.46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02-4236-9EE0-D12646787B00}"/>
            </c:ext>
          </c:extLst>
        </c:ser>
        <c:ser>
          <c:idx val="5"/>
          <c:order val="5"/>
          <c:tx>
            <c:strRef>
              <c:f>'Total Emissions'!$I$127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Emissions'!$I$170:$I$183</c:f>
              <c:numCache>
                <c:formatCode>General</c:formatCode>
                <c:ptCount val="14"/>
                <c:pt idx="0">
                  <c:v>0</c:v>
                </c:pt>
                <c:pt idx="1">
                  <c:v>6053.3845999999994</c:v>
                </c:pt>
                <c:pt idx="2">
                  <c:v>4046579</c:v>
                </c:pt>
                <c:pt idx="3">
                  <c:v>135307.20600000001</c:v>
                </c:pt>
                <c:pt idx="4">
                  <c:v>0</c:v>
                </c:pt>
                <c:pt idx="5">
                  <c:v>15905.6926</c:v>
                </c:pt>
                <c:pt idx="8">
                  <c:v>1637439.62</c:v>
                </c:pt>
                <c:pt idx="9">
                  <c:v>194458.18</c:v>
                </c:pt>
                <c:pt idx="10">
                  <c:v>4083313</c:v>
                </c:pt>
                <c:pt idx="11">
                  <c:v>131501.68700000001</c:v>
                </c:pt>
                <c:pt idx="12">
                  <c:v>19106.893400000001</c:v>
                </c:pt>
                <c:pt idx="13">
                  <c:v>271520.76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02-4236-9EE0-D12646787B00}"/>
            </c:ext>
          </c:extLst>
        </c:ser>
        <c:ser>
          <c:idx val="6"/>
          <c:order val="6"/>
          <c:tx>
            <c:strRef>
              <c:f>'Total Emissions'!$J$127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Emissions'!$J$170:$J$183</c:f>
              <c:numCache>
                <c:formatCode>General</c:formatCode>
                <c:ptCount val="14"/>
                <c:pt idx="12">
                  <c:v>7872484</c:v>
                </c:pt>
                <c:pt idx="13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02-4236-9EE0-D12646787B00}"/>
            </c:ext>
          </c:extLst>
        </c:ser>
        <c:ser>
          <c:idx val="7"/>
          <c:order val="7"/>
          <c:tx>
            <c:strRef>
              <c:f>'Total Emissions'!$K$127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Emissions'!$K$170:$K$183</c:f>
              <c:numCache>
                <c:formatCode>General</c:formatCode>
                <c:ptCount val="14"/>
                <c:pt idx="0">
                  <c:v>378606.2</c:v>
                </c:pt>
                <c:pt idx="1">
                  <c:v>179977.60000000001</c:v>
                </c:pt>
                <c:pt idx="2">
                  <c:v>3680473</c:v>
                </c:pt>
                <c:pt idx="3">
                  <c:v>669620.1</c:v>
                </c:pt>
                <c:pt idx="4">
                  <c:v>7140349</c:v>
                </c:pt>
                <c:pt idx="5">
                  <c:v>477296.4</c:v>
                </c:pt>
                <c:pt idx="8">
                  <c:v>5588565</c:v>
                </c:pt>
                <c:pt idx="9">
                  <c:v>2459787</c:v>
                </c:pt>
                <c:pt idx="10">
                  <c:v>4838560</c:v>
                </c:pt>
                <c:pt idx="11">
                  <c:v>100294.7</c:v>
                </c:pt>
                <c:pt idx="12">
                  <c:v>10900.92</c:v>
                </c:pt>
                <c:pt idx="13">
                  <c:v>8720.7330000000002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02-4236-9EE0-D12646787B00}"/>
            </c:ext>
          </c:extLst>
        </c:ser>
        <c:ser>
          <c:idx val="8"/>
          <c:order val="8"/>
          <c:tx>
            <c:strRef>
              <c:f>'Total Emissions'!$L$127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Emissions'!$L$170:$L$183</c:f>
              <c:numCache>
                <c:formatCode>General</c:formatCode>
                <c:ptCount val="14"/>
                <c:pt idx="8">
                  <c:v>5790901</c:v>
                </c:pt>
                <c:pt idx="9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02-4236-9EE0-D12646787B00}"/>
            </c:ext>
          </c:extLst>
        </c:ser>
        <c:ser>
          <c:idx val="9"/>
          <c:order val="9"/>
          <c:tx>
            <c:strRef>
              <c:f>'Total Emissions'!$M$127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Emissions'!$M$170:$M$183</c:f>
              <c:numCache>
                <c:formatCode>General</c:formatCode>
                <c:ptCount val="14"/>
                <c:pt idx="4">
                  <c:v>3801677</c:v>
                </c:pt>
                <c:pt idx="5">
                  <c:v>2765585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02-4236-9EE0-D12646787B00}"/>
            </c:ext>
          </c:extLst>
        </c:ser>
        <c:ser>
          <c:idx val="10"/>
          <c:order val="10"/>
          <c:tx>
            <c:strRef>
              <c:f>'Total Emissions'!$N$127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Emissions'!$N$170:$N$183</c:f>
              <c:numCache>
                <c:formatCode>General</c:formatCode>
                <c:ptCount val="14"/>
                <c:pt idx="2">
                  <c:v>168647.1</c:v>
                </c:pt>
                <c:pt idx="3">
                  <c:v>78184.42</c:v>
                </c:pt>
                <c:pt idx="4">
                  <c:v>329.69909999999999</c:v>
                </c:pt>
                <c:pt idx="5">
                  <c:v>141.7518</c:v>
                </c:pt>
                <c:pt idx="8">
                  <c:v>269797.7</c:v>
                </c:pt>
                <c:pt idx="9">
                  <c:v>121463.3</c:v>
                </c:pt>
                <c:pt idx="10">
                  <c:v>284833.40000000002</c:v>
                </c:pt>
                <c:pt idx="11">
                  <c:v>628.74080000000004</c:v>
                </c:pt>
                <c:pt idx="12">
                  <c:v>5760.2259999999997</c:v>
                </c:pt>
                <c:pt idx="13">
                  <c:v>5760.2259999999997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02-4236-9EE0-D12646787B00}"/>
            </c:ext>
          </c:extLst>
        </c:ser>
        <c:ser>
          <c:idx val="11"/>
          <c:order val="11"/>
          <c:tx>
            <c:strRef>
              <c:f>'Total Emissions'!$O$127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Emissions'!$O$170:$O$183</c:f>
              <c:numCache>
                <c:formatCode>General</c:formatCode>
                <c:ptCount val="14"/>
                <c:pt idx="0">
                  <c:v>111.65989999999999</c:v>
                </c:pt>
                <c:pt idx="1">
                  <c:v>111.65989999999999</c:v>
                </c:pt>
                <c:pt idx="2">
                  <c:v>9.7747050000000009</c:v>
                </c:pt>
                <c:pt idx="3">
                  <c:v>9.6794729999999998</c:v>
                </c:pt>
                <c:pt idx="4">
                  <c:v>26.465170000000001</c:v>
                </c:pt>
                <c:pt idx="5">
                  <c:v>26.465170000000001</c:v>
                </c:pt>
                <c:pt idx="8">
                  <c:v>9.3766219999999997E-2</c:v>
                </c:pt>
                <c:pt idx="9">
                  <c:v>0.18899869999999999</c:v>
                </c:pt>
                <c:pt idx="12">
                  <c:v>0</c:v>
                </c:pt>
                <c:pt idx="13">
                  <c:v>317.51609999999999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B02-4236-9EE0-D12646787B00}"/>
            </c:ext>
          </c:extLst>
        </c:ser>
        <c:ser>
          <c:idx val="12"/>
          <c:order val="12"/>
          <c:tx>
            <c:strRef>
              <c:f>'Total Emissions'!$P$127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Emissions'!$B$170:$C$183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Emissions'!$P$170:$P$183</c:f>
              <c:numCache>
                <c:formatCode>General</c:formatCode>
                <c:ptCount val="14"/>
                <c:pt idx="4">
                  <c:v>9198.0570000000007</c:v>
                </c:pt>
                <c:pt idx="5">
                  <c:v>9198.0570000000007</c:v>
                </c:pt>
                <c:pt idx="8">
                  <c:v>196151.5</c:v>
                </c:pt>
                <c:pt idx="9">
                  <c:v>161653.20000000001</c:v>
                </c:pt>
                <c:pt idx="10">
                  <c:v>179433.7</c:v>
                </c:pt>
                <c:pt idx="11">
                  <c:v>378.56549999999999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02-4236-9EE0-D12646787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50001"/>
        <c:axId val="50250002"/>
      </c:barChart>
      <c:catAx>
        <c:axId val="502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50002"/>
        <c:crosses val="autoZero"/>
        <c:auto val="1"/>
        <c:lblAlgn val="ctr"/>
        <c:lblOffset val="100"/>
        <c:noMultiLvlLbl val="0"/>
      </c:catAx>
      <c:valAx>
        <c:axId val="502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5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Emissions'!$D$127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Emissions'!$D$184:$D$197</c:f>
              <c:numCache>
                <c:formatCode>General</c:formatCode>
                <c:ptCount val="14"/>
                <c:pt idx="4">
                  <c:v>8031415</c:v>
                </c:pt>
                <c:pt idx="5">
                  <c:v>0</c:v>
                </c:pt>
                <c:pt idx="8">
                  <c:v>478609.1</c:v>
                </c:pt>
                <c:pt idx="9">
                  <c:v>212764.7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D-4A03-8C54-1DA550A13D53}"/>
            </c:ext>
          </c:extLst>
        </c:ser>
        <c:ser>
          <c:idx val="1"/>
          <c:order val="1"/>
          <c:tx>
            <c:strRef>
              <c:f>'Total Emissions'!$E$127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Emissions'!$E$184:$E$197</c:f>
              <c:numCache>
                <c:formatCode>General</c:formatCode>
                <c:ptCount val="14"/>
                <c:pt idx="12">
                  <c:v>16213790</c:v>
                </c:pt>
                <c:pt idx="13">
                  <c:v>2489451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D-4A03-8C54-1DA550A13D53}"/>
            </c:ext>
          </c:extLst>
        </c:ser>
        <c:ser>
          <c:idx val="2"/>
          <c:order val="2"/>
          <c:tx>
            <c:strRef>
              <c:f>'Total Emissions'!$F$127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Emissions'!$F$184:$F$197</c:f>
              <c:numCache>
                <c:formatCode>General</c:formatCode>
                <c:ptCount val="14"/>
                <c:pt idx="2">
                  <c:v>3904.6860000000001</c:v>
                </c:pt>
                <c:pt idx="3">
                  <c:v>2890.5529999999999</c:v>
                </c:pt>
                <c:pt idx="4">
                  <c:v>7151.9889999999996</c:v>
                </c:pt>
                <c:pt idx="5">
                  <c:v>0</c:v>
                </c:pt>
                <c:pt idx="8">
                  <c:v>6515463</c:v>
                </c:pt>
                <c:pt idx="9">
                  <c:v>1703985</c:v>
                </c:pt>
                <c:pt idx="10">
                  <c:v>358395.1</c:v>
                </c:pt>
                <c:pt idx="11">
                  <c:v>656.29989999999998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D-4A03-8C54-1DA550A13D53}"/>
            </c:ext>
          </c:extLst>
        </c:ser>
        <c:ser>
          <c:idx val="3"/>
          <c:order val="3"/>
          <c:tx>
            <c:strRef>
              <c:f>'Total Emissions'!$G$127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BE8741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Emissions'!$G$184:$G$197</c:f>
              <c:numCache>
                <c:formatCode>General</c:formatCode>
                <c:ptCount val="14"/>
                <c:pt idx="6">
                  <c:v>221100.7</c:v>
                </c:pt>
                <c:pt idx="7">
                  <c:v>48338.52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D-4A03-8C54-1DA550A13D53}"/>
            </c:ext>
          </c:extLst>
        </c:ser>
        <c:ser>
          <c:idx val="4"/>
          <c:order val="4"/>
          <c:tx>
            <c:strRef>
              <c:f>'Total Emissions'!$H$127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Emissions'!$H$184:$H$197</c:f>
              <c:numCache>
                <c:formatCode>General</c:formatCode>
                <c:ptCount val="14"/>
                <c:pt idx="12">
                  <c:v>24286310</c:v>
                </c:pt>
                <c:pt idx="13">
                  <c:v>40572.46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ED-4A03-8C54-1DA550A13D53}"/>
            </c:ext>
          </c:extLst>
        </c:ser>
        <c:ser>
          <c:idx val="5"/>
          <c:order val="5"/>
          <c:tx>
            <c:strRef>
              <c:f>'Total Emissions'!$I$127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Emissions'!$I$184:$I$197</c:f>
              <c:numCache>
                <c:formatCode>General</c:formatCode>
                <c:ptCount val="14"/>
                <c:pt idx="2">
                  <c:v>4046579</c:v>
                </c:pt>
                <c:pt idx="3">
                  <c:v>128970.89200000001</c:v>
                </c:pt>
                <c:pt idx="8">
                  <c:v>1637439.62</c:v>
                </c:pt>
                <c:pt idx="9">
                  <c:v>325887.09000000003</c:v>
                </c:pt>
                <c:pt idx="10">
                  <c:v>4083313</c:v>
                </c:pt>
                <c:pt idx="11">
                  <c:v>125152.292</c:v>
                </c:pt>
                <c:pt idx="12">
                  <c:v>19106.893400000001</c:v>
                </c:pt>
                <c:pt idx="13">
                  <c:v>174735.24900000001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ED-4A03-8C54-1DA550A13D53}"/>
            </c:ext>
          </c:extLst>
        </c:ser>
        <c:ser>
          <c:idx val="6"/>
          <c:order val="6"/>
          <c:tx>
            <c:strRef>
              <c:f>'Total Emissions'!$J$127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Emissions'!$J$184:$J$197</c:f>
              <c:numCache>
                <c:formatCode>General</c:formatCode>
                <c:ptCount val="14"/>
                <c:pt idx="12">
                  <c:v>7872484</c:v>
                </c:pt>
                <c:pt idx="13">
                  <c:v>6297988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ED-4A03-8C54-1DA550A13D53}"/>
            </c:ext>
          </c:extLst>
        </c:ser>
        <c:ser>
          <c:idx val="7"/>
          <c:order val="7"/>
          <c:tx>
            <c:strRef>
              <c:f>'Total Emissions'!$K$127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Emissions'!$K$184:$K$197</c:f>
              <c:numCache>
                <c:formatCode>General</c:formatCode>
                <c:ptCount val="14"/>
                <c:pt idx="0">
                  <c:v>378606.2</c:v>
                </c:pt>
                <c:pt idx="1">
                  <c:v>9.0266740000000002E-3</c:v>
                </c:pt>
                <c:pt idx="2">
                  <c:v>3680473</c:v>
                </c:pt>
                <c:pt idx="3">
                  <c:v>1.6017320000000002E-2</c:v>
                </c:pt>
                <c:pt idx="4">
                  <c:v>7140349</c:v>
                </c:pt>
                <c:pt idx="5">
                  <c:v>1.7337700000000001E-2</c:v>
                </c:pt>
                <c:pt idx="8">
                  <c:v>5588565</c:v>
                </c:pt>
                <c:pt idx="9">
                  <c:v>4.6729220000000002E-2</c:v>
                </c:pt>
                <c:pt idx="10">
                  <c:v>4838560</c:v>
                </c:pt>
                <c:pt idx="11">
                  <c:v>2.3912120000000002E-3</c:v>
                </c:pt>
                <c:pt idx="12">
                  <c:v>10900.92</c:v>
                </c:pt>
                <c:pt idx="13">
                  <c:v>8720.7330000000002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ED-4A03-8C54-1DA550A13D53}"/>
            </c:ext>
          </c:extLst>
        </c:ser>
        <c:ser>
          <c:idx val="8"/>
          <c:order val="8"/>
          <c:tx>
            <c:strRef>
              <c:f>'Total Emissions'!$L$127</c:f>
              <c:strCache>
                <c:ptCount val="1"/>
                <c:pt idx="0">
                  <c:v>Non Energy</c:v>
                </c:pt>
              </c:strCache>
            </c:strRef>
          </c:tx>
          <c:spPr>
            <a:solidFill>
              <a:srgbClr val="038C7F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Emissions'!$L$184:$L$197</c:f>
              <c:numCache>
                <c:formatCode>General</c:formatCode>
                <c:ptCount val="14"/>
                <c:pt idx="8">
                  <c:v>5790901</c:v>
                </c:pt>
                <c:pt idx="9">
                  <c:v>5790901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ED-4A03-8C54-1DA550A13D53}"/>
            </c:ext>
          </c:extLst>
        </c:ser>
        <c:ser>
          <c:idx val="9"/>
          <c:order val="9"/>
          <c:tx>
            <c:strRef>
              <c:f>'Total Emissions'!$M$127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Emissions'!$M$184:$M$197</c:f>
              <c:numCache>
                <c:formatCode>General</c:formatCode>
                <c:ptCount val="14"/>
                <c:pt idx="4">
                  <c:v>3801677</c:v>
                </c:pt>
                <c:pt idx="5">
                  <c:v>2765585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ED-4A03-8C54-1DA550A13D53}"/>
            </c:ext>
          </c:extLst>
        </c:ser>
        <c:ser>
          <c:idx val="10"/>
          <c:order val="10"/>
          <c:tx>
            <c:strRef>
              <c:f>'Total Emissions'!$N$127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Emissions'!$N$184:$N$197</c:f>
              <c:numCache>
                <c:formatCode>General</c:formatCode>
                <c:ptCount val="14"/>
                <c:pt idx="2">
                  <c:v>168647.1</c:v>
                </c:pt>
                <c:pt idx="3">
                  <c:v>78440.72</c:v>
                </c:pt>
                <c:pt idx="4">
                  <c:v>329.69909999999999</c:v>
                </c:pt>
                <c:pt idx="5">
                  <c:v>112.0759</c:v>
                </c:pt>
                <c:pt idx="8">
                  <c:v>269797.7</c:v>
                </c:pt>
                <c:pt idx="9">
                  <c:v>97046.44</c:v>
                </c:pt>
                <c:pt idx="10">
                  <c:v>284833.40000000002</c:v>
                </c:pt>
                <c:pt idx="11">
                  <c:v>628.74080000000004</c:v>
                </c:pt>
                <c:pt idx="12">
                  <c:v>5760.2259999999997</c:v>
                </c:pt>
                <c:pt idx="13">
                  <c:v>5760.2259999999997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ED-4A03-8C54-1DA550A13D53}"/>
            </c:ext>
          </c:extLst>
        </c:ser>
        <c:ser>
          <c:idx val="11"/>
          <c:order val="11"/>
          <c:tx>
            <c:strRef>
              <c:f>'Total Emissions'!$O$127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Emissions'!$O$184:$O$197</c:f>
              <c:numCache>
                <c:formatCode>General</c:formatCode>
                <c:ptCount val="14"/>
                <c:pt idx="0">
                  <c:v>111.65989999999999</c:v>
                </c:pt>
                <c:pt idx="1">
                  <c:v>498.14980000000003</c:v>
                </c:pt>
                <c:pt idx="2">
                  <c:v>9.7747050000000009</c:v>
                </c:pt>
                <c:pt idx="3">
                  <c:v>695.51570000000004</c:v>
                </c:pt>
                <c:pt idx="4">
                  <c:v>26.465170000000001</c:v>
                </c:pt>
                <c:pt idx="5">
                  <c:v>768.80349999999999</c:v>
                </c:pt>
                <c:pt idx="8">
                  <c:v>9.3766219999999997E-2</c:v>
                </c:pt>
                <c:pt idx="9">
                  <c:v>2000.9349999999999</c:v>
                </c:pt>
                <c:pt idx="10">
                  <c:v>0</c:v>
                </c:pt>
                <c:pt idx="11">
                  <c:v>102.3831</c:v>
                </c:pt>
                <c:pt idx="12">
                  <c:v>0</c:v>
                </c:pt>
                <c:pt idx="13">
                  <c:v>226426.2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ED-4A03-8C54-1DA550A13D53}"/>
            </c:ext>
          </c:extLst>
        </c:ser>
        <c:ser>
          <c:idx val="12"/>
          <c:order val="12"/>
          <c:tx>
            <c:strRef>
              <c:f>'Total Emissions'!$P$127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Emissions'!$B$184:$C$197</c:f>
              <c:multiLvlStrCache>
                <c:ptCount val="14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  <c:pt idx="12">
                    <c:v>2019</c:v>
                  </c:pt>
                  <c:pt idx="13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Fugitive</c:v>
                  </c:pt>
                  <c:pt idx="8">
                    <c:v>Industrial</c:v>
                  </c:pt>
                  <c:pt idx="10">
                    <c:v>Residential</c:v>
                  </c:pt>
                  <c:pt idx="12">
                    <c:v>Transportation</c:v>
                  </c:pt>
                </c:lvl>
              </c:multiLvlStrCache>
            </c:multiLvlStrRef>
          </c:cat>
          <c:val>
            <c:numRef>
              <c:f>'Total Emissions'!$P$184:$P$197</c:f>
              <c:numCache>
                <c:formatCode>General</c:formatCode>
                <c:ptCount val="14"/>
                <c:pt idx="4">
                  <c:v>9198.0570000000007</c:v>
                </c:pt>
                <c:pt idx="5">
                  <c:v>9198.0570000000007</c:v>
                </c:pt>
                <c:pt idx="8">
                  <c:v>196151.5</c:v>
                </c:pt>
                <c:pt idx="9">
                  <c:v>161653.20000000001</c:v>
                </c:pt>
                <c:pt idx="10">
                  <c:v>179433.7</c:v>
                </c:pt>
                <c:pt idx="11">
                  <c:v>378.56549999999999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FED-4A03-8C54-1DA550A13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60001"/>
        <c:axId val="50260002"/>
      </c:barChart>
      <c:catAx>
        <c:axId val="502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60002"/>
        <c:crosses val="autoZero"/>
        <c:auto val="1"/>
        <c:lblAlgn val="ctr"/>
        <c:lblOffset val="100"/>
        <c:noMultiLvlLbl val="0"/>
      </c:catAx>
      <c:valAx>
        <c:axId val="502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6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'Per Capita Emissions'!$A$4</c:f>
              <c:strCache>
                <c:ptCount val="1"/>
                <c:pt idx="0">
                  <c:v>AltFuels</c:v>
                </c:pt>
              </c:strCache>
            </c:strRef>
          </c:tx>
          <c:spPr>
            <a:ln w="15875">
              <a:solidFill>
                <a:srgbClr val="203564"/>
              </a:solidFill>
            </a:ln>
          </c:spPr>
          <c:marker>
            <c:symbol val="none"/>
          </c:marker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Emissions'!$B$4:$AG$4</c:f>
              <c:numCache>
                <c:formatCode>General</c:formatCode>
                <c:ptCount val="32"/>
                <c:pt idx="0">
                  <c:v>13.93577</c:v>
                </c:pt>
                <c:pt idx="1">
                  <c:v>13.670249999999999</c:v>
                </c:pt>
                <c:pt idx="2">
                  <c:v>13.293670000000001</c:v>
                </c:pt>
                <c:pt idx="3">
                  <c:v>12.93845</c:v>
                </c:pt>
                <c:pt idx="4">
                  <c:v>12.537990000000001</c:v>
                </c:pt>
                <c:pt idx="5">
                  <c:v>12.042210000000001</c:v>
                </c:pt>
                <c:pt idx="6">
                  <c:v>9.5670140000000004</c:v>
                </c:pt>
                <c:pt idx="7">
                  <c:v>9.0060020000000005</c:v>
                </c:pt>
                <c:pt idx="8">
                  <c:v>8.4451590000000003</c:v>
                </c:pt>
                <c:pt idx="9">
                  <c:v>7.8890320000000003</c:v>
                </c:pt>
                <c:pt idx="10">
                  <c:v>7.3337450000000004</c:v>
                </c:pt>
                <c:pt idx="11">
                  <c:v>6.262842</c:v>
                </c:pt>
                <c:pt idx="12">
                  <c:v>5.7893470000000002</c:v>
                </c:pt>
                <c:pt idx="13">
                  <c:v>5.348598</c:v>
                </c:pt>
                <c:pt idx="14">
                  <c:v>4.9332459999999996</c:v>
                </c:pt>
                <c:pt idx="15">
                  <c:v>4.5186260000000003</c:v>
                </c:pt>
                <c:pt idx="16">
                  <c:v>4.1524989999999997</c:v>
                </c:pt>
                <c:pt idx="17">
                  <c:v>3.9006599999999998</c:v>
                </c:pt>
                <c:pt idx="18">
                  <c:v>3.65964</c:v>
                </c:pt>
                <c:pt idx="19">
                  <c:v>3.4320270000000002</c:v>
                </c:pt>
                <c:pt idx="20">
                  <c:v>3.2357749999999998</c:v>
                </c:pt>
                <c:pt idx="21">
                  <c:v>3.0577960000000002</c:v>
                </c:pt>
                <c:pt idx="22">
                  <c:v>2.936553</c:v>
                </c:pt>
                <c:pt idx="23">
                  <c:v>2.8237040000000002</c:v>
                </c:pt>
                <c:pt idx="24">
                  <c:v>2.7193450000000001</c:v>
                </c:pt>
                <c:pt idx="25">
                  <c:v>2.6222569999999998</c:v>
                </c:pt>
                <c:pt idx="26">
                  <c:v>2.4105530000000002</c:v>
                </c:pt>
                <c:pt idx="27">
                  <c:v>2.340357</c:v>
                </c:pt>
                <c:pt idx="28">
                  <c:v>2.2760419999999999</c:v>
                </c:pt>
                <c:pt idx="29">
                  <c:v>2.2182010000000001</c:v>
                </c:pt>
                <c:pt idx="30">
                  <c:v>2.1680299999999999</c:v>
                </c:pt>
                <c:pt idx="31">
                  <c:v>2.1206360000000002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4-4437-A08A-58BB6BF00FAE}"/>
            </c:ext>
          </c:extLst>
        </c:ser>
        <c:ser>
          <c:idx val="1"/>
          <c:order val="1"/>
          <c:marker>
            <c:symbol val="circle"/>
            <c:size val="6"/>
            <c:spPr>
              <a:solidFill>
                <a:srgbClr val="203564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Emissions'!$B$4,'Per Capita Emissions'!$B$2:$AF$2,'Per Capita Emissions'!$AG$4)</c:f>
              <c:numCache>
                <c:formatCode>General</c:formatCode>
                <c:ptCount val="33"/>
                <c:pt idx="0">
                  <c:v>13.93577</c:v>
                </c:pt>
                <c:pt idx="32">
                  <c:v>2.1206360000000002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4-4437-A08A-58BB6BF00FAE}"/>
            </c:ext>
          </c:extLst>
        </c:ser>
        <c:ser>
          <c:idx val="2"/>
          <c:order val="2"/>
          <c:tx>
            <c:strRef>
              <c:f>'Per Capita Emissions'!$A$5</c:f>
              <c:strCache>
                <c:ptCount val="1"/>
                <c:pt idx="0">
                  <c:v>BAP</c:v>
                </c:pt>
              </c:strCache>
            </c:strRef>
          </c:tx>
          <c:spPr>
            <a:ln w="15875">
              <a:solidFill>
                <a:srgbClr val="43AD4C"/>
              </a:solidFill>
            </a:ln>
          </c:spPr>
          <c:marker>
            <c:symbol val="none"/>
          </c:marker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Emissions'!$B$5:$AG$5</c:f>
              <c:numCache>
                <c:formatCode>General</c:formatCode>
                <c:ptCount val="32"/>
                <c:pt idx="0">
                  <c:v>13.93577</c:v>
                </c:pt>
                <c:pt idx="1">
                  <c:v>13.66981</c:v>
                </c:pt>
                <c:pt idx="2">
                  <c:v>13.415710000000001</c:v>
                </c:pt>
                <c:pt idx="3">
                  <c:v>13.139049999999999</c:v>
                </c:pt>
                <c:pt idx="4">
                  <c:v>12.479329999999999</c:v>
                </c:pt>
                <c:pt idx="5">
                  <c:v>11.780099999999999</c:v>
                </c:pt>
                <c:pt idx="6">
                  <c:v>9.4168769999999995</c:v>
                </c:pt>
                <c:pt idx="7">
                  <c:v>8.828856</c:v>
                </c:pt>
                <c:pt idx="8">
                  <c:v>8.2574869999999994</c:v>
                </c:pt>
                <c:pt idx="9">
                  <c:v>7.7073039999999997</c:v>
                </c:pt>
                <c:pt idx="10">
                  <c:v>7.1791600000000004</c:v>
                </c:pt>
                <c:pt idx="11">
                  <c:v>6.3323429999999998</c:v>
                </c:pt>
                <c:pt idx="12">
                  <c:v>6.0425490000000002</c:v>
                </c:pt>
                <c:pt idx="13">
                  <c:v>5.7763869999999997</c:v>
                </c:pt>
                <c:pt idx="14">
                  <c:v>5.5270960000000002</c:v>
                </c:pt>
                <c:pt idx="15">
                  <c:v>5.2753449999999997</c:v>
                </c:pt>
                <c:pt idx="16">
                  <c:v>5.0600670000000001</c:v>
                </c:pt>
                <c:pt idx="17">
                  <c:v>4.8503069999999999</c:v>
                </c:pt>
                <c:pt idx="18">
                  <c:v>4.6506049999999997</c:v>
                </c:pt>
                <c:pt idx="19">
                  <c:v>4.4625320000000004</c:v>
                </c:pt>
                <c:pt idx="20">
                  <c:v>4.3089310000000003</c:v>
                </c:pt>
                <c:pt idx="21">
                  <c:v>4.170452</c:v>
                </c:pt>
                <c:pt idx="22">
                  <c:v>3.9853190000000001</c:v>
                </c:pt>
                <c:pt idx="23">
                  <c:v>3.812141</c:v>
                </c:pt>
                <c:pt idx="24">
                  <c:v>3.6503429999999999</c:v>
                </c:pt>
                <c:pt idx="25">
                  <c:v>3.497239</c:v>
                </c:pt>
                <c:pt idx="26">
                  <c:v>3.3207870000000002</c:v>
                </c:pt>
                <c:pt idx="27">
                  <c:v>3.200339</c:v>
                </c:pt>
                <c:pt idx="28">
                  <c:v>3.0863160000000001</c:v>
                </c:pt>
                <c:pt idx="29">
                  <c:v>2.9775529999999999</c:v>
                </c:pt>
                <c:pt idx="30">
                  <c:v>2.8725209999999999</c:v>
                </c:pt>
                <c:pt idx="31">
                  <c:v>2.7723550000000001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4-4437-A08A-58BB6BF00FAE}"/>
            </c:ext>
          </c:extLst>
        </c:ser>
        <c:ser>
          <c:idx val="3"/>
          <c:order val="3"/>
          <c:marker>
            <c:symbol val="circle"/>
            <c:size val="6"/>
            <c:spPr>
              <a:solidFill>
                <a:srgbClr val="43AD4C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Emissions'!$B$5,'Per Capita Emissions'!$B$2:$AF$2,'Per Capita Emissions'!$AG$5)</c:f>
              <c:numCache>
                <c:formatCode>General</c:formatCode>
                <c:ptCount val="33"/>
                <c:pt idx="0">
                  <c:v>13.93577</c:v>
                </c:pt>
                <c:pt idx="32">
                  <c:v>2.7723550000000001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C4-4437-A08A-58BB6BF00FAE}"/>
            </c:ext>
          </c:extLst>
        </c:ser>
        <c:ser>
          <c:idx val="4"/>
          <c:order val="4"/>
          <c:tx>
            <c:strRef>
              <c:f>'Per Capita Emissions'!$A$6</c:f>
              <c:strCache>
                <c:ptCount val="1"/>
                <c:pt idx="0">
                  <c:v>BAU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Emissions'!$B$6:$AG$6</c:f>
              <c:numCache>
                <c:formatCode>General</c:formatCode>
                <c:ptCount val="32"/>
                <c:pt idx="0">
                  <c:v>13.93577</c:v>
                </c:pt>
                <c:pt idx="1">
                  <c:v>13.710290000000001</c:v>
                </c:pt>
                <c:pt idx="2">
                  <c:v>13.57314</c:v>
                </c:pt>
                <c:pt idx="3">
                  <c:v>13.41652</c:v>
                </c:pt>
                <c:pt idx="4">
                  <c:v>13.275499999999999</c:v>
                </c:pt>
                <c:pt idx="5">
                  <c:v>13.11084</c:v>
                </c:pt>
                <c:pt idx="6">
                  <c:v>12.85275</c:v>
                </c:pt>
                <c:pt idx="7">
                  <c:v>12.65422</c:v>
                </c:pt>
                <c:pt idx="8">
                  <c:v>12.455450000000001</c:v>
                </c:pt>
                <c:pt idx="9">
                  <c:v>12.264060000000001</c:v>
                </c:pt>
                <c:pt idx="10">
                  <c:v>12.089270000000001</c:v>
                </c:pt>
                <c:pt idx="11">
                  <c:v>11.95002</c:v>
                </c:pt>
                <c:pt idx="12">
                  <c:v>11.83347</c:v>
                </c:pt>
                <c:pt idx="13">
                  <c:v>11.73859</c:v>
                </c:pt>
                <c:pt idx="14">
                  <c:v>11.65532</c:v>
                </c:pt>
                <c:pt idx="15">
                  <c:v>11.560829999999999</c:v>
                </c:pt>
                <c:pt idx="16">
                  <c:v>11.487120000000001</c:v>
                </c:pt>
                <c:pt idx="17">
                  <c:v>11.410740000000001</c:v>
                </c:pt>
                <c:pt idx="18">
                  <c:v>11.3367</c:v>
                </c:pt>
                <c:pt idx="19">
                  <c:v>11.266170000000001</c:v>
                </c:pt>
                <c:pt idx="20">
                  <c:v>11.20077</c:v>
                </c:pt>
                <c:pt idx="21">
                  <c:v>11.13964</c:v>
                </c:pt>
                <c:pt idx="22">
                  <c:v>11.07757</c:v>
                </c:pt>
                <c:pt idx="23">
                  <c:v>11.01632</c:v>
                </c:pt>
                <c:pt idx="24">
                  <c:v>10.95598</c:v>
                </c:pt>
                <c:pt idx="25">
                  <c:v>10.89725</c:v>
                </c:pt>
                <c:pt idx="26">
                  <c:v>10.84066</c:v>
                </c:pt>
                <c:pt idx="27">
                  <c:v>10.78623</c:v>
                </c:pt>
                <c:pt idx="28">
                  <c:v>10.73521</c:v>
                </c:pt>
                <c:pt idx="29">
                  <c:v>10.68737</c:v>
                </c:pt>
                <c:pt idx="30">
                  <c:v>10.64218</c:v>
                </c:pt>
                <c:pt idx="31">
                  <c:v>10.59835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C4-4437-A08A-58BB6BF00FAE}"/>
            </c:ext>
          </c:extLst>
        </c:ser>
        <c:ser>
          <c:idx val="5"/>
          <c:order val="5"/>
          <c:marker>
            <c:symbol val="circle"/>
            <c:size val="6"/>
            <c:spPr>
              <a:solidFill>
                <a:srgbClr val="F282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Emissions'!$B$6,'Per Capita Emissions'!$B$2:$AF$2,'Per Capita Emissions'!$AG$6)</c:f>
              <c:numCache>
                <c:formatCode>General</c:formatCode>
                <c:ptCount val="33"/>
                <c:pt idx="0">
                  <c:v>13.93577</c:v>
                </c:pt>
                <c:pt idx="32">
                  <c:v>10.59835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C4-4437-A08A-58BB6BF00FAE}"/>
            </c:ext>
          </c:extLst>
        </c:ser>
        <c:ser>
          <c:idx val="6"/>
          <c:order val="6"/>
          <c:tx>
            <c:strRef>
              <c:f>'Per Capita Emissions'!$A$7</c:f>
              <c:strCache>
                <c:ptCount val="1"/>
                <c:pt idx="0">
                  <c:v>Elec</c:v>
                </c:pt>
              </c:strCache>
            </c:strRef>
          </c:tx>
          <c:spPr>
            <a:ln w="15875">
              <a:solidFill>
                <a:srgbClr val="E7C92E"/>
              </a:solidFill>
            </a:ln>
          </c:spPr>
          <c:marker>
            <c:symbol val="none"/>
          </c:marker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Emissions'!$B$7:$AG$7</c:f>
              <c:numCache>
                <c:formatCode>General</c:formatCode>
                <c:ptCount val="32"/>
                <c:pt idx="0">
                  <c:v>13.93577</c:v>
                </c:pt>
                <c:pt idx="1">
                  <c:v>13.671559999999999</c:v>
                </c:pt>
                <c:pt idx="2">
                  <c:v>13.30058</c:v>
                </c:pt>
                <c:pt idx="3">
                  <c:v>12.913320000000001</c:v>
                </c:pt>
                <c:pt idx="4">
                  <c:v>12.48822</c:v>
                </c:pt>
                <c:pt idx="5">
                  <c:v>11.99089</c:v>
                </c:pt>
                <c:pt idx="6">
                  <c:v>9.5215999999999994</c:v>
                </c:pt>
                <c:pt idx="7">
                  <c:v>8.9933340000000008</c:v>
                </c:pt>
                <c:pt idx="8">
                  <c:v>8.470936</c:v>
                </c:pt>
                <c:pt idx="9">
                  <c:v>7.9579959999999996</c:v>
                </c:pt>
                <c:pt idx="10">
                  <c:v>7.4413809999999998</c:v>
                </c:pt>
                <c:pt idx="11">
                  <c:v>6.4116530000000003</c:v>
                </c:pt>
                <c:pt idx="12">
                  <c:v>5.9945810000000002</c:v>
                </c:pt>
                <c:pt idx="13">
                  <c:v>5.6088979999999999</c:v>
                </c:pt>
                <c:pt idx="14">
                  <c:v>5.2478809999999996</c:v>
                </c:pt>
                <c:pt idx="15">
                  <c:v>4.8876010000000001</c:v>
                </c:pt>
                <c:pt idx="16">
                  <c:v>4.5771030000000001</c:v>
                </c:pt>
                <c:pt idx="17">
                  <c:v>4.3363100000000001</c:v>
                </c:pt>
                <c:pt idx="18">
                  <c:v>4.1079210000000002</c:v>
                </c:pt>
                <c:pt idx="19">
                  <c:v>3.8948260000000001</c:v>
                </c:pt>
                <c:pt idx="20">
                  <c:v>3.7156389999999999</c:v>
                </c:pt>
                <c:pt idx="21">
                  <c:v>3.5550570000000001</c:v>
                </c:pt>
                <c:pt idx="22">
                  <c:v>3.4348100000000001</c:v>
                </c:pt>
                <c:pt idx="23">
                  <c:v>3.3230189999999999</c:v>
                </c:pt>
                <c:pt idx="24">
                  <c:v>3.2198470000000001</c:v>
                </c:pt>
                <c:pt idx="25">
                  <c:v>3.1241949999999998</c:v>
                </c:pt>
                <c:pt idx="26">
                  <c:v>2.9111449999999999</c:v>
                </c:pt>
                <c:pt idx="27">
                  <c:v>2.8360820000000002</c:v>
                </c:pt>
                <c:pt idx="28">
                  <c:v>2.7670270000000001</c:v>
                </c:pt>
                <c:pt idx="29">
                  <c:v>2.7030240000000001</c:v>
                </c:pt>
                <c:pt idx="30">
                  <c:v>2.6419730000000001</c:v>
                </c:pt>
                <c:pt idx="31">
                  <c:v>2.5863429999999998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C4-4437-A08A-58BB6BF00FAE}"/>
            </c:ext>
          </c:extLst>
        </c:ser>
        <c:ser>
          <c:idx val="7"/>
          <c:order val="7"/>
          <c:marker>
            <c:symbol val="circle"/>
            <c:size val="6"/>
            <c:spPr>
              <a:solidFill>
                <a:srgbClr val="E7C9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Emissions'!$B$7,'Per Capita Emissions'!$B$2:$AF$2,'Per Capita Emissions'!$AG$7)</c:f>
              <c:numCache>
                <c:formatCode>General</c:formatCode>
                <c:ptCount val="33"/>
                <c:pt idx="0">
                  <c:v>13.93577</c:v>
                </c:pt>
                <c:pt idx="32">
                  <c:v>2.5863429999999998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C4-4437-A08A-58BB6BF00FAE}"/>
            </c:ext>
          </c:extLst>
        </c:ser>
        <c:ser>
          <c:idx val="8"/>
          <c:order val="8"/>
          <c:tx>
            <c:strRef>
              <c:f>'Per Capita Emissions'!$A$8</c:f>
              <c:strCache>
                <c:ptCount val="1"/>
                <c:pt idx="0">
                  <c:v>Hybrid</c:v>
                </c:pt>
              </c:strCache>
            </c:strRef>
          </c:tx>
          <c:spPr>
            <a:ln w="15875">
              <a:solidFill>
                <a:srgbClr val="D55BA0"/>
              </a:solidFill>
            </a:ln>
          </c:spPr>
          <c:marker>
            <c:symbol val="none"/>
          </c:marker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Emissions'!$B$8:$AG$8</c:f>
              <c:numCache>
                <c:formatCode>General</c:formatCode>
                <c:ptCount val="32"/>
                <c:pt idx="0">
                  <c:v>13.93577</c:v>
                </c:pt>
                <c:pt idx="1">
                  <c:v>13.670249999999999</c:v>
                </c:pt>
                <c:pt idx="2">
                  <c:v>13.293670000000001</c:v>
                </c:pt>
                <c:pt idx="3">
                  <c:v>12.93845</c:v>
                </c:pt>
                <c:pt idx="4">
                  <c:v>12.504049999999999</c:v>
                </c:pt>
                <c:pt idx="5">
                  <c:v>11.98241</c:v>
                </c:pt>
                <c:pt idx="6">
                  <c:v>9.4889229999999998</c:v>
                </c:pt>
                <c:pt idx="7">
                  <c:v>8.9167439999999996</c:v>
                </c:pt>
                <c:pt idx="8">
                  <c:v>8.3515350000000002</c:v>
                </c:pt>
                <c:pt idx="9">
                  <c:v>7.7975709999999996</c:v>
                </c:pt>
                <c:pt idx="10">
                  <c:v>7.2434390000000004</c:v>
                </c:pt>
                <c:pt idx="11">
                  <c:v>6.1788759999999998</c:v>
                </c:pt>
                <c:pt idx="12">
                  <c:v>5.694439</c:v>
                </c:pt>
                <c:pt idx="13">
                  <c:v>5.2441469999999999</c:v>
                </c:pt>
                <c:pt idx="14">
                  <c:v>4.8207659999999999</c:v>
                </c:pt>
                <c:pt idx="15">
                  <c:v>4.4000779999999997</c:v>
                </c:pt>
                <c:pt idx="16">
                  <c:v>4.029433</c:v>
                </c:pt>
                <c:pt idx="17">
                  <c:v>3.7795779999999999</c:v>
                </c:pt>
                <c:pt idx="18">
                  <c:v>3.5414099999999999</c:v>
                </c:pt>
                <c:pt idx="19">
                  <c:v>3.3178679999999998</c:v>
                </c:pt>
                <c:pt idx="20">
                  <c:v>3.1276480000000002</c:v>
                </c:pt>
                <c:pt idx="21">
                  <c:v>2.955495</c:v>
                </c:pt>
                <c:pt idx="22">
                  <c:v>2.8531309999999999</c:v>
                </c:pt>
                <c:pt idx="23">
                  <c:v>2.7597480000000001</c:v>
                </c:pt>
                <c:pt idx="24">
                  <c:v>2.673222</c:v>
                </c:pt>
                <c:pt idx="25">
                  <c:v>2.5934949999999999</c:v>
                </c:pt>
                <c:pt idx="26">
                  <c:v>2.3929360000000002</c:v>
                </c:pt>
                <c:pt idx="27">
                  <c:v>2.3293539999999999</c:v>
                </c:pt>
                <c:pt idx="28">
                  <c:v>2.2710819999999998</c:v>
                </c:pt>
                <c:pt idx="29">
                  <c:v>2.2173189999999998</c:v>
                </c:pt>
                <c:pt idx="30">
                  <c:v>2.167173</c:v>
                </c:pt>
                <c:pt idx="31">
                  <c:v>2.1197780000000002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C4-4437-A08A-58BB6BF00FAE}"/>
            </c:ext>
          </c:extLst>
        </c:ser>
        <c:ser>
          <c:idx val="9"/>
          <c:order val="9"/>
          <c:marker>
            <c:symbol val="circle"/>
            <c:size val="6"/>
            <c:spPr>
              <a:solidFill>
                <a:srgbClr val="D55BA0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Emissions'!$B$8,'Per Capita Emissions'!$B$2:$AF$2,'Per Capita Emissions'!$AG$8)</c:f>
              <c:numCache>
                <c:formatCode>General</c:formatCode>
                <c:ptCount val="33"/>
                <c:pt idx="0">
                  <c:v>13.93577</c:v>
                </c:pt>
                <c:pt idx="32">
                  <c:v>2.1197780000000002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C4-4437-A08A-58BB6BF0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70001"/>
        <c:axId val="50270002"/>
      </c:lineChart>
      <c:catAx>
        <c:axId val="502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70002"/>
        <c:crosses val="autoZero"/>
        <c:auto val="1"/>
        <c:lblAlgn val="ctr"/>
        <c:lblOffset val="100"/>
        <c:tickLblSkip val="2"/>
        <c:noMultiLvlLbl val="0"/>
      </c:catAx>
      <c:valAx>
        <c:axId val="502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MTonCO2e/person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70001"/>
        <c:crosses val="autoZero"/>
        <c:crossBetween val="between"/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9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'Total Energy'!$A$4</c:f>
              <c:strCache>
                <c:ptCount val="1"/>
                <c:pt idx="0">
                  <c:v>AltFuels</c:v>
                </c:pt>
              </c:strCache>
            </c:strRef>
          </c:tx>
          <c:spPr>
            <a:ln w="15875">
              <a:solidFill>
                <a:srgbClr val="203564"/>
              </a:solidFill>
            </a:ln>
          </c:spPr>
          <c:marker>
            <c:symbol val="none"/>
          </c:marker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Energy'!$B$4:$AG$4</c:f>
              <c:numCache>
                <c:formatCode>General</c:formatCode>
                <c:ptCount val="32"/>
                <c:pt idx="0">
                  <c:v>2190945022.3937998</c:v>
                </c:pt>
                <c:pt idx="1">
                  <c:v>2181013091.4938002</c:v>
                </c:pt>
                <c:pt idx="2">
                  <c:v>2168649074.6283998</c:v>
                </c:pt>
                <c:pt idx="3">
                  <c:v>2159616601.4717999</c:v>
                </c:pt>
                <c:pt idx="4">
                  <c:v>2149259973.68575</c:v>
                </c:pt>
                <c:pt idx="5">
                  <c:v>2129351313.5854001</c:v>
                </c:pt>
                <c:pt idx="6">
                  <c:v>2049239866.3697</c:v>
                </c:pt>
                <c:pt idx="7">
                  <c:v>2017342224.2779</c:v>
                </c:pt>
                <c:pt idx="8">
                  <c:v>1983278938.6368001</c:v>
                </c:pt>
                <c:pt idx="9">
                  <c:v>1947974959.7467999</c:v>
                </c:pt>
                <c:pt idx="10">
                  <c:v>1910528538.2958</c:v>
                </c:pt>
                <c:pt idx="11">
                  <c:v>1795098522.3808</c:v>
                </c:pt>
                <c:pt idx="12">
                  <c:v>1765010340.2874999</c:v>
                </c:pt>
                <c:pt idx="13">
                  <c:v>1736590467.7692001</c:v>
                </c:pt>
                <c:pt idx="14">
                  <c:v>1708692602.7760999</c:v>
                </c:pt>
                <c:pt idx="15">
                  <c:v>1677397580.70978</c:v>
                </c:pt>
                <c:pt idx="16">
                  <c:v>1651390304.5740199</c:v>
                </c:pt>
                <c:pt idx="17">
                  <c:v>1623283629.40571</c:v>
                </c:pt>
                <c:pt idx="18">
                  <c:v>1594626269.2135899</c:v>
                </c:pt>
                <c:pt idx="19">
                  <c:v>1565793868.5339701</c:v>
                </c:pt>
                <c:pt idx="20">
                  <c:v>1536855111.3914001</c:v>
                </c:pt>
                <c:pt idx="21">
                  <c:v>1509862670.0011699</c:v>
                </c:pt>
                <c:pt idx="22">
                  <c:v>1498233663.5445499</c:v>
                </c:pt>
                <c:pt idx="23">
                  <c:v>1488540708.2843699</c:v>
                </c:pt>
                <c:pt idx="24">
                  <c:v>1479867890.2606599</c:v>
                </c:pt>
                <c:pt idx="25">
                  <c:v>1471947696.4049699</c:v>
                </c:pt>
                <c:pt idx="26">
                  <c:v>1445640198.2344601</c:v>
                </c:pt>
                <c:pt idx="27">
                  <c:v>1439799924.4507401</c:v>
                </c:pt>
                <c:pt idx="28">
                  <c:v>1434590585.3357201</c:v>
                </c:pt>
                <c:pt idx="29">
                  <c:v>1429918983.755455</c:v>
                </c:pt>
                <c:pt idx="30">
                  <c:v>1425149179.985594</c:v>
                </c:pt>
                <c:pt idx="31">
                  <c:v>1422007217.074939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9-41A4-9BA1-AE5D6F267696}"/>
            </c:ext>
          </c:extLst>
        </c:ser>
        <c:ser>
          <c:idx val="1"/>
          <c:order val="1"/>
          <c:marker>
            <c:symbol val="circle"/>
            <c:size val="6"/>
            <c:spPr>
              <a:solidFill>
                <a:srgbClr val="203564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Energy'!$B$4,'Total Energy'!$B$2:$AF$2,'Total Energy'!$AG$4)</c:f>
              <c:numCache>
                <c:formatCode>General</c:formatCode>
                <c:ptCount val="33"/>
                <c:pt idx="0">
                  <c:v>2190945022.3937998</c:v>
                </c:pt>
                <c:pt idx="32">
                  <c:v>1422007217.074939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9-41A4-9BA1-AE5D6F267696}"/>
            </c:ext>
          </c:extLst>
        </c:ser>
        <c:ser>
          <c:idx val="2"/>
          <c:order val="2"/>
          <c:tx>
            <c:strRef>
              <c:f>'Total Energy'!$A$5</c:f>
              <c:strCache>
                <c:ptCount val="1"/>
                <c:pt idx="0">
                  <c:v>BAP</c:v>
                </c:pt>
              </c:strCache>
            </c:strRef>
          </c:tx>
          <c:spPr>
            <a:ln w="15875">
              <a:solidFill>
                <a:srgbClr val="43AD4C"/>
              </a:solidFill>
            </a:ln>
          </c:spPr>
          <c:marker>
            <c:symbol val="none"/>
          </c:marker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Energy'!$B$5:$AG$5</c:f>
              <c:numCache>
                <c:formatCode>General</c:formatCode>
                <c:ptCount val="32"/>
                <c:pt idx="0">
                  <c:v>2190945022.3937998</c:v>
                </c:pt>
                <c:pt idx="1">
                  <c:v>2180636661.7838001</c:v>
                </c:pt>
                <c:pt idx="2">
                  <c:v>2179056878.5458002</c:v>
                </c:pt>
                <c:pt idx="3">
                  <c:v>2174794566.3778</c:v>
                </c:pt>
                <c:pt idx="4">
                  <c:v>2171697413.8518</c:v>
                </c:pt>
                <c:pt idx="5">
                  <c:v>2159103427.4298</c:v>
                </c:pt>
                <c:pt idx="6">
                  <c:v>2091548322.6268001</c:v>
                </c:pt>
                <c:pt idx="7">
                  <c:v>2072983646.3608</c:v>
                </c:pt>
                <c:pt idx="8">
                  <c:v>2052231607.6027999</c:v>
                </c:pt>
                <c:pt idx="9">
                  <c:v>2030295404.5838001</c:v>
                </c:pt>
                <c:pt idx="10">
                  <c:v>2007466139.0548</c:v>
                </c:pt>
                <c:pt idx="11">
                  <c:v>1907717360.8468001</c:v>
                </c:pt>
                <c:pt idx="12">
                  <c:v>1891738719.8676</c:v>
                </c:pt>
                <c:pt idx="13">
                  <c:v>1878303284.95</c:v>
                </c:pt>
                <c:pt idx="14">
                  <c:v>1866019052.2890999</c:v>
                </c:pt>
                <c:pt idx="15">
                  <c:v>1849700495.7165101</c:v>
                </c:pt>
                <c:pt idx="16">
                  <c:v>1840061014.8143899</c:v>
                </c:pt>
                <c:pt idx="17">
                  <c:v>1827958293.2783599</c:v>
                </c:pt>
                <c:pt idx="18">
                  <c:v>1815183805.003</c:v>
                </c:pt>
                <c:pt idx="19">
                  <c:v>1802302415.96556</c:v>
                </c:pt>
                <c:pt idx="20">
                  <c:v>1788660528.3218801</c:v>
                </c:pt>
                <c:pt idx="21">
                  <c:v>1778402838.865</c:v>
                </c:pt>
                <c:pt idx="22">
                  <c:v>1766766500.7379301</c:v>
                </c:pt>
                <c:pt idx="23">
                  <c:v>1755747733.7311001</c:v>
                </c:pt>
                <c:pt idx="24">
                  <c:v>1745574276.56617</c:v>
                </c:pt>
                <c:pt idx="25">
                  <c:v>1734996016.85709</c:v>
                </c:pt>
                <c:pt idx="26">
                  <c:v>1707436151.4579999</c:v>
                </c:pt>
                <c:pt idx="27">
                  <c:v>1699799398.1256199</c:v>
                </c:pt>
                <c:pt idx="28">
                  <c:v>1692959379.31372</c:v>
                </c:pt>
                <c:pt idx="29">
                  <c:v>1686811462.27631</c:v>
                </c:pt>
                <c:pt idx="30">
                  <c:v>1679856497.23756</c:v>
                </c:pt>
                <c:pt idx="31">
                  <c:v>1675995772.8789799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79-41A4-9BA1-AE5D6F267696}"/>
            </c:ext>
          </c:extLst>
        </c:ser>
        <c:ser>
          <c:idx val="3"/>
          <c:order val="3"/>
          <c:marker>
            <c:symbol val="circle"/>
            <c:size val="6"/>
            <c:spPr>
              <a:solidFill>
                <a:srgbClr val="43AD4C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Energy'!$B$5,'Total Energy'!$B$2:$AF$2,'Total Energy'!$AG$5)</c:f>
              <c:numCache>
                <c:formatCode>General</c:formatCode>
                <c:ptCount val="33"/>
                <c:pt idx="0">
                  <c:v>2190945022.3937998</c:v>
                </c:pt>
                <c:pt idx="32">
                  <c:v>1675995772.8789799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79-41A4-9BA1-AE5D6F267696}"/>
            </c:ext>
          </c:extLst>
        </c:ser>
        <c:ser>
          <c:idx val="4"/>
          <c:order val="4"/>
          <c:tx>
            <c:strRef>
              <c:f>'Total Energy'!$A$6</c:f>
              <c:strCache>
                <c:ptCount val="1"/>
                <c:pt idx="0">
                  <c:v>BAU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Energy'!$B$6:$AG$6</c:f>
              <c:numCache>
                <c:formatCode>General</c:formatCode>
                <c:ptCount val="32"/>
                <c:pt idx="0">
                  <c:v>2190945022.3937998</c:v>
                </c:pt>
                <c:pt idx="1">
                  <c:v>2184793908.0558</c:v>
                </c:pt>
                <c:pt idx="2">
                  <c:v>2187332339.8127999</c:v>
                </c:pt>
                <c:pt idx="3">
                  <c:v>2187095676.4327998</c:v>
                </c:pt>
                <c:pt idx="4">
                  <c:v>2188002300.9798002</c:v>
                </c:pt>
                <c:pt idx="5">
                  <c:v>2185302695.2198</c:v>
                </c:pt>
                <c:pt idx="6">
                  <c:v>2170114730.4748001</c:v>
                </c:pt>
                <c:pt idx="7">
                  <c:v>2161222729.5377998</c:v>
                </c:pt>
                <c:pt idx="8">
                  <c:v>2151356195.2828002</c:v>
                </c:pt>
                <c:pt idx="9">
                  <c:v>2141587801.3717999</c:v>
                </c:pt>
                <c:pt idx="10">
                  <c:v>2133218983.2897999</c:v>
                </c:pt>
                <c:pt idx="11">
                  <c:v>2128828488.1738</c:v>
                </c:pt>
                <c:pt idx="12">
                  <c:v>2126758351.0708001</c:v>
                </c:pt>
                <c:pt idx="13">
                  <c:v>2127008161.6458001</c:v>
                </c:pt>
                <c:pt idx="14">
                  <c:v>2128384836.3227999</c:v>
                </c:pt>
                <c:pt idx="15">
                  <c:v>2127923690.8787999</c:v>
                </c:pt>
                <c:pt idx="16">
                  <c:v>2129956383.1517999</c:v>
                </c:pt>
                <c:pt idx="17">
                  <c:v>2131183880.8817999</c:v>
                </c:pt>
                <c:pt idx="18">
                  <c:v>2132373751.0067999</c:v>
                </c:pt>
                <c:pt idx="19">
                  <c:v>2133750299.0178001</c:v>
                </c:pt>
                <c:pt idx="20">
                  <c:v>2135592536.6777999</c:v>
                </c:pt>
                <c:pt idx="21">
                  <c:v>2137844825.2897999</c:v>
                </c:pt>
                <c:pt idx="22">
                  <c:v>2139579142.2168</c:v>
                </c:pt>
                <c:pt idx="23">
                  <c:v>2141172547.0518</c:v>
                </c:pt>
                <c:pt idx="24">
                  <c:v>2142687783.0567999</c:v>
                </c:pt>
                <c:pt idx="25">
                  <c:v>2144266882.8138001</c:v>
                </c:pt>
                <c:pt idx="26">
                  <c:v>2146025342.7908001</c:v>
                </c:pt>
                <c:pt idx="27">
                  <c:v>2147826272.5348001</c:v>
                </c:pt>
                <c:pt idx="28">
                  <c:v>2149965583.0618</c:v>
                </c:pt>
                <c:pt idx="29">
                  <c:v>2152457379.4868002</c:v>
                </c:pt>
                <c:pt idx="30">
                  <c:v>2155257819.9098001</c:v>
                </c:pt>
                <c:pt idx="31">
                  <c:v>2158204684.1877999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79-41A4-9BA1-AE5D6F267696}"/>
            </c:ext>
          </c:extLst>
        </c:ser>
        <c:ser>
          <c:idx val="5"/>
          <c:order val="5"/>
          <c:marker>
            <c:symbol val="circle"/>
            <c:size val="6"/>
            <c:spPr>
              <a:solidFill>
                <a:srgbClr val="F282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Energy'!$B$6,'Total Energy'!$B$2:$AF$2,'Total Energy'!$AG$6)</c:f>
              <c:numCache>
                <c:formatCode>General</c:formatCode>
                <c:ptCount val="33"/>
                <c:pt idx="0">
                  <c:v>2190945022.3937998</c:v>
                </c:pt>
                <c:pt idx="32">
                  <c:v>2158204684.1877999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79-41A4-9BA1-AE5D6F267696}"/>
            </c:ext>
          </c:extLst>
        </c:ser>
        <c:ser>
          <c:idx val="6"/>
          <c:order val="6"/>
          <c:tx>
            <c:strRef>
              <c:f>'Total Energy'!$A$7</c:f>
              <c:strCache>
                <c:ptCount val="1"/>
                <c:pt idx="0">
                  <c:v>Elec</c:v>
                </c:pt>
              </c:strCache>
            </c:strRef>
          </c:tx>
          <c:spPr>
            <a:ln w="15875">
              <a:solidFill>
                <a:srgbClr val="E7C92E"/>
              </a:solidFill>
            </a:ln>
          </c:spPr>
          <c:marker>
            <c:symbol val="none"/>
          </c:marker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Energy'!$B$7:$AG$7</c:f>
              <c:numCache>
                <c:formatCode>General</c:formatCode>
                <c:ptCount val="32"/>
                <c:pt idx="0">
                  <c:v>2190945022.3937998</c:v>
                </c:pt>
                <c:pt idx="1">
                  <c:v>2180869697.6838002</c:v>
                </c:pt>
                <c:pt idx="2">
                  <c:v>2166352953.4560518</c:v>
                </c:pt>
                <c:pt idx="3">
                  <c:v>2149582399.5924578</c:v>
                </c:pt>
                <c:pt idx="4">
                  <c:v>2131241617.4538</c:v>
                </c:pt>
                <c:pt idx="5">
                  <c:v>2101735218.0488</c:v>
                </c:pt>
                <c:pt idx="6">
                  <c:v>2012803855.6138</c:v>
                </c:pt>
                <c:pt idx="7">
                  <c:v>1972663403.7778001</c:v>
                </c:pt>
                <c:pt idx="8">
                  <c:v>1930955990.6157999</c:v>
                </c:pt>
                <c:pt idx="9">
                  <c:v>1888550512.3308001</c:v>
                </c:pt>
                <c:pt idx="10">
                  <c:v>1844138362.8268001</c:v>
                </c:pt>
                <c:pt idx="11">
                  <c:v>1722121873.5998001</c:v>
                </c:pt>
                <c:pt idx="12">
                  <c:v>1683421232.1933</c:v>
                </c:pt>
                <c:pt idx="13">
                  <c:v>1646696766.059</c:v>
                </c:pt>
                <c:pt idx="14">
                  <c:v>1610676064.1689999</c:v>
                </c:pt>
                <c:pt idx="15">
                  <c:v>1571405028.4684501</c:v>
                </c:pt>
                <c:pt idx="16">
                  <c:v>1537509023.35043</c:v>
                </c:pt>
                <c:pt idx="17">
                  <c:v>1508474249.4924099</c:v>
                </c:pt>
                <c:pt idx="18">
                  <c:v>1478614867.5457301</c:v>
                </c:pt>
                <c:pt idx="19">
                  <c:v>1448363557.42417</c:v>
                </c:pt>
                <c:pt idx="20">
                  <c:v>1417936996.97785</c:v>
                </c:pt>
                <c:pt idx="21">
                  <c:v>1389232949.6729701</c:v>
                </c:pt>
                <c:pt idx="22">
                  <c:v>1376439629.2681</c:v>
                </c:pt>
                <c:pt idx="23">
                  <c:v>1365679369.1356699</c:v>
                </c:pt>
                <c:pt idx="24">
                  <c:v>1355913707.99668</c:v>
                </c:pt>
                <c:pt idx="25">
                  <c:v>1346826755.6343</c:v>
                </c:pt>
                <c:pt idx="26">
                  <c:v>1319119176.2424099</c:v>
                </c:pt>
                <c:pt idx="27">
                  <c:v>1311931742.1835699</c:v>
                </c:pt>
                <c:pt idx="28">
                  <c:v>1305361801.4474399</c:v>
                </c:pt>
                <c:pt idx="29">
                  <c:v>1299320560.3759601</c:v>
                </c:pt>
                <c:pt idx="30">
                  <c:v>1293246343.7084999</c:v>
                </c:pt>
                <c:pt idx="31">
                  <c:v>1288685790.7946301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79-41A4-9BA1-AE5D6F267696}"/>
            </c:ext>
          </c:extLst>
        </c:ser>
        <c:ser>
          <c:idx val="7"/>
          <c:order val="7"/>
          <c:marker>
            <c:symbol val="circle"/>
            <c:size val="6"/>
            <c:spPr>
              <a:solidFill>
                <a:srgbClr val="E7C9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Energy'!$B$7,'Total Energy'!$B$2:$AF$2,'Total Energy'!$AG$7)</c:f>
              <c:numCache>
                <c:formatCode>General</c:formatCode>
                <c:ptCount val="33"/>
                <c:pt idx="0">
                  <c:v>2190945022.3937998</c:v>
                </c:pt>
                <c:pt idx="32">
                  <c:v>1288685790.7946301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79-41A4-9BA1-AE5D6F267696}"/>
            </c:ext>
          </c:extLst>
        </c:ser>
        <c:ser>
          <c:idx val="8"/>
          <c:order val="8"/>
          <c:tx>
            <c:strRef>
              <c:f>'Total Energy'!$A$8</c:f>
              <c:strCache>
                <c:ptCount val="1"/>
                <c:pt idx="0">
                  <c:v>Hybrid</c:v>
                </c:pt>
              </c:strCache>
            </c:strRef>
          </c:tx>
          <c:spPr>
            <a:ln w="15875">
              <a:solidFill>
                <a:srgbClr val="D55BA0"/>
              </a:solidFill>
            </a:ln>
          </c:spPr>
          <c:marker>
            <c:symbol val="none"/>
          </c:marker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Energy'!$B$8:$AG$8</c:f>
              <c:numCache>
                <c:formatCode>General</c:formatCode>
                <c:ptCount val="32"/>
                <c:pt idx="0">
                  <c:v>2190945022.3937998</c:v>
                </c:pt>
                <c:pt idx="1">
                  <c:v>2181013091.4938002</c:v>
                </c:pt>
                <c:pt idx="2">
                  <c:v>2168649074.6283998</c:v>
                </c:pt>
                <c:pt idx="3">
                  <c:v>2159616601.4717999</c:v>
                </c:pt>
                <c:pt idx="4">
                  <c:v>2148245068.49615</c:v>
                </c:pt>
                <c:pt idx="5">
                  <c:v>2127575738.8919001</c:v>
                </c:pt>
                <c:pt idx="6">
                  <c:v>2046878759.1622</c:v>
                </c:pt>
                <c:pt idx="7">
                  <c:v>2014504207.2439001</c:v>
                </c:pt>
                <c:pt idx="8">
                  <c:v>1980060274.7228</c:v>
                </c:pt>
                <c:pt idx="9">
                  <c:v>1944509010.6858001</c:v>
                </c:pt>
                <c:pt idx="10">
                  <c:v>1906365944.5527999</c:v>
                </c:pt>
                <c:pt idx="11">
                  <c:v>1790309782.9488001</c:v>
                </c:pt>
                <c:pt idx="12">
                  <c:v>1759573942.6503</c:v>
                </c:pt>
                <c:pt idx="13">
                  <c:v>1730433772.3900001</c:v>
                </c:pt>
                <c:pt idx="14">
                  <c:v>1701671982.5610001</c:v>
                </c:pt>
                <c:pt idx="15">
                  <c:v>1669334474.4214499</c:v>
                </c:pt>
                <c:pt idx="16">
                  <c:v>1642350933.3234301</c:v>
                </c:pt>
                <c:pt idx="17">
                  <c:v>1614208303.0134101</c:v>
                </c:pt>
                <c:pt idx="18">
                  <c:v>1585373387.97173</c:v>
                </c:pt>
                <c:pt idx="19">
                  <c:v>1556266161.3201699</c:v>
                </c:pt>
                <c:pt idx="20">
                  <c:v>1527057278.5388501</c:v>
                </c:pt>
                <c:pt idx="21">
                  <c:v>1499722668.5070701</c:v>
                </c:pt>
                <c:pt idx="22">
                  <c:v>1488467833.464505</c:v>
                </c:pt>
                <c:pt idx="23">
                  <c:v>1479269293.2331021</c:v>
                </c:pt>
                <c:pt idx="24">
                  <c:v>1471075469.214313</c:v>
                </c:pt>
                <c:pt idx="25">
                  <c:v>1463546693.80302</c:v>
                </c:pt>
                <c:pt idx="26">
                  <c:v>1437430470.395689</c:v>
                </c:pt>
                <c:pt idx="27">
                  <c:v>1431771092.156661</c:v>
                </c:pt>
                <c:pt idx="28">
                  <c:v>1426701542.957567</c:v>
                </c:pt>
                <c:pt idx="29">
                  <c:v>1422129508.153791</c:v>
                </c:pt>
                <c:pt idx="30">
                  <c:v>1417470998.425509</c:v>
                </c:pt>
                <c:pt idx="31">
                  <c:v>1414338653.7836781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79-41A4-9BA1-AE5D6F267696}"/>
            </c:ext>
          </c:extLst>
        </c:ser>
        <c:ser>
          <c:idx val="9"/>
          <c:order val="9"/>
          <c:marker>
            <c:symbol val="circle"/>
            <c:size val="6"/>
            <c:spPr>
              <a:solidFill>
                <a:srgbClr val="D55BA0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('Total Energy'!$B$8,'Total Energy'!$B$2:$AF$2,'Total Energy'!$AG$8)</c:f>
              <c:numCache>
                <c:formatCode>General</c:formatCode>
                <c:ptCount val="33"/>
                <c:pt idx="0">
                  <c:v>2190945022.3937998</c:v>
                </c:pt>
                <c:pt idx="32">
                  <c:v>1414338653.7836781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879-41A4-9BA1-AE5D6F26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280001"/>
        <c:axId val="50280002"/>
      </c:lineChart>
      <c:catAx>
        <c:axId val="502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80002"/>
        <c:crosses val="autoZero"/>
        <c:auto val="1"/>
        <c:lblAlgn val="ctr"/>
        <c:lblOffset val="100"/>
        <c:tickLblSkip val="2"/>
        <c:noMultiLvlLbl val="0"/>
      </c:catAx>
      <c:valAx>
        <c:axId val="502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80001"/>
        <c:crosses val="autoZero"/>
        <c:crossBetween val="between"/>
        <c:dispUnits>
          <c:builtInUnit val="millions"/>
        </c:dispUnits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9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Energy'!$B$14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Energy'!$C$14:$AH$14</c:f>
              <c:numCache>
                <c:formatCode>General</c:formatCode>
                <c:ptCount val="32"/>
                <c:pt idx="0">
                  <c:v>701026638.59179997</c:v>
                </c:pt>
                <c:pt idx="1">
                  <c:v>699700685.80180001</c:v>
                </c:pt>
                <c:pt idx="2">
                  <c:v>699700694.25621998</c:v>
                </c:pt>
                <c:pt idx="3">
                  <c:v>699700682.61183</c:v>
                </c:pt>
                <c:pt idx="4">
                  <c:v>698783894.04180002</c:v>
                </c:pt>
                <c:pt idx="5">
                  <c:v>697846057.23080003</c:v>
                </c:pt>
                <c:pt idx="6">
                  <c:v>650397847.1178</c:v>
                </c:pt>
                <c:pt idx="7">
                  <c:v>648401034.13980007</c:v>
                </c:pt>
                <c:pt idx="8">
                  <c:v>646435503.08679998</c:v>
                </c:pt>
                <c:pt idx="9">
                  <c:v>644500065.10879993</c:v>
                </c:pt>
                <c:pt idx="10">
                  <c:v>642593132.49479997</c:v>
                </c:pt>
                <c:pt idx="11">
                  <c:v>559415543.40180004</c:v>
                </c:pt>
                <c:pt idx="12">
                  <c:v>557570756.50779998</c:v>
                </c:pt>
                <c:pt idx="13">
                  <c:v>555751051.67680001</c:v>
                </c:pt>
                <c:pt idx="14">
                  <c:v>553955169.96679997</c:v>
                </c:pt>
                <c:pt idx="15">
                  <c:v>552182230.3398</c:v>
                </c:pt>
                <c:pt idx="16">
                  <c:v>550430991.86979997</c:v>
                </c:pt>
                <c:pt idx="17">
                  <c:v>549626886.3858</c:v>
                </c:pt>
                <c:pt idx="18">
                  <c:v>548843300.63680005</c:v>
                </c:pt>
                <c:pt idx="19">
                  <c:v>548079439.51480007</c:v>
                </c:pt>
                <c:pt idx="20">
                  <c:v>547334909.21880007</c:v>
                </c:pt>
                <c:pt idx="21">
                  <c:v>546608510.24979997</c:v>
                </c:pt>
                <c:pt idx="22">
                  <c:v>545900093.9188</c:v>
                </c:pt>
                <c:pt idx="23">
                  <c:v>545208473.8348</c:v>
                </c:pt>
                <c:pt idx="24">
                  <c:v>544533596.01380002</c:v>
                </c:pt>
                <c:pt idx="25">
                  <c:v>543874330.27779996</c:v>
                </c:pt>
                <c:pt idx="26">
                  <c:v>523465325.60280001</c:v>
                </c:pt>
                <c:pt idx="27">
                  <c:v>522836448.10979998</c:v>
                </c:pt>
                <c:pt idx="28">
                  <c:v>522221617.58179998</c:v>
                </c:pt>
                <c:pt idx="29">
                  <c:v>521620714.95380002</c:v>
                </c:pt>
                <c:pt idx="30">
                  <c:v>521033292.16180003</c:v>
                </c:pt>
                <c:pt idx="31">
                  <c:v>520458544.14579999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D-4EEB-87DB-ECEC57ABA433}"/>
            </c:ext>
          </c:extLst>
        </c:ser>
        <c:ser>
          <c:idx val="1"/>
          <c:order val="1"/>
          <c:tx>
            <c:strRef>
              <c:f>'Total Energy'!$B$17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Energy'!$C$17:$AH$17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581432680.44000006</c:v>
                </c:pt>
                <c:pt idx="2">
                  <c:v>566556353.37300003</c:v>
                </c:pt>
                <c:pt idx="3">
                  <c:v>548603597.39600003</c:v>
                </c:pt>
                <c:pt idx="4">
                  <c:v>531846903.31800002</c:v>
                </c:pt>
                <c:pt idx="5">
                  <c:v>509521022.352</c:v>
                </c:pt>
                <c:pt idx="6">
                  <c:v>476146337.38</c:v>
                </c:pt>
                <c:pt idx="7">
                  <c:v>450801625.41000003</c:v>
                </c:pt>
                <c:pt idx="8">
                  <c:v>424260026.32999998</c:v>
                </c:pt>
                <c:pt idx="9">
                  <c:v>397368123.36000001</c:v>
                </c:pt>
                <c:pt idx="10">
                  <c:v>371609520.39999998</c:v>
                </c:pt>
                <c:pt idx="11">
                  <c:v>349262801.31999999</c:v>
                </c:pt>
                <c:pt idx="12">
                  <c:v>329789993.33999997</c:v>
                </c:pt>
                <c:pt idx="13">
                  <c:v>312655864.37</c:v>
                </c:pt>
                <c:pt idx="14">
                  <c:v>296744071.41000003</c:v>
                </c:pt>
                <c:pt idx="15">
                  <c:v>279057289.32999998</c:v>
                </c:pt>
                <c:pt idx="16">
                  <c:v>263902833.34999999</c:v>
                </c:pt>
                <c:pt idx="17">
                  <c:v>254067855.38999999</c:v>
                </c:pt>
                <c:pt idx="18">
                  <c:v>244081734.31999999</c:v>
                </c:pt>
                <c:pt idx="19">
                  <c:v>234410956.34</c:v>
                </c:pt>
                <c:pt idx="20">
                  <c:v>225417225.34</c:v>
                </c:pt>
                <c:pt idx="21">
                  <c:v>217217860.34</c:v>
                </c:pt>
                <c:pt idx="22">
                  <c:v>211622512.34</c:v>
                </c:pt>
                <c:pt idx="23">
                  <c:v>206442928.34</c:v>
                </c:pt>
                <c:pt idx="24">
                  <c:v>201823948.34</c:v>
                </c:pt>
                <c:pt idx="25">
                  <c:v>197825358.34</c:v>
                </c:pt>
                <c:pt idx="26">
                  <c:v>194427178.34</c:v>
                </c:pt>
                <c:pt idx="27">
                  <c:v>191611049.34</c:v>
                </c:pt>
                <c:pt idx="28">
                  <c:v>189323291.34</c:v>
                </c:pt>
                <c:pt idx="29">
                  <c:v>187496124.34</c:v>
                </c:pt>
                <c:pt idx="30">
                  <c:v>186035024.34</c:v>
                </c:pt>
                <c:pt idx="31">
                  <c:v>184809207.74000001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2D-4EEB-87DB-ECEC57ABA433}"/>
            </c:ext>
          </c:extLst>
        </c:ser>
        <c:ser>
          <c:idx val="2"/>
          <c:order val="2"/>
          <c:tx>
            <c:strRef>
              <c:f>'Total Energy'!$B$15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Energy'!$C$15:$AH$15</c:f>
              <c:numCache>
                <c:formatCode>General</c:formatCode>
                <c:ptCount val="32"/>
                <c:pt idx="0">
                  <c:v>424886232.45700002</c:v>
                </c:pt>
                <c:pt idx="1">
                  <c:v>424928230.16000003</c:v>
                </c:pt>
                <c:pt idx="2">
                  <c:v>424928232.56199998</c:v>
                </c:pt>
                <c:pt idx="3">
                  <c:v>424928236.89300001</c:v>
                </c:pt>
                <c:pt idx="4">
                  <c:v>424856064.47399998</c:v>
                </c:pt>
                <c:pt idx="5">
                  <c:v>424782254.89399999</c:v>
                </c:pt>
                <c:pt idx="6">
                  <c:v>421187203.005</c:v>
                </c:pt>
                <c:pt idx="7">
                  <c:v>416622995.99599999</c:v>
                </c:pt>
                <c:pt idx="8">
                  <c:v>412191116.73900002</c:v>
                </c:pt>
                <c:pt idx="9">
                  <c:v>407885894.11400002</c:v>
                </c:pt>
                <c:pt idx="10">
                  <c:v>403701733.352</c:v>
                </c:pt>
                <c:pt idx="11">
                  <c:v>398486420.82099998</c:v>
                </c:pt>
                <c:pt idx="12">
                  <c:v>394740632.07099998</c:v>
                </c:pt>
                <c:pt idx="13">
                  <c:v>391096075.00300002</c:v>
                </c:pt>
                <c:pt idx="14">
                  <c:v>387548526.05699998</c:v>
                </c:pt>
                <c:pt idx="15">
                  <c:v>384094181.01300001</c:v>
                </c:pt>
                <c:pt idx="16">
                  <c:v>380729299.47100002</c:v>
                </c:pt>
                <c:pt idx="17">
                  <c:v>377759242.12400001</c:v>
                </c:pt>
                <c:pt idx="18">
                  <c:v>374866805.67900002</c:v>
                </c:pt>
                <c:pt idx="19">
                  <c:v>372049093.537</c:v>
                </c:pt>
                <c:pt idx="20">
                  <c:v>369303294.39600003</c:v>
                </c:pt>
                <c:pt idx="21">
                  <c:v>366626738.65799999</c:v>
                </c:pt>
                <c:pt idx="22">
                  <c:v>363766555.60699999</c:v>
                </c:pt>
                <c:pt idx="23">
                  <c:v>360976074.05800003</c:v>
                </c:pt>
                <c:pt idx="24">
                  <c:v>358252757.31099999</c:v>
                </c:pt>
                <c:pt idx="25">
                  <c:v>355594299.46600002</c:v>
                </c:pt>
                <c:pt idx="26">
                  <c:v>352165349.42299998</c:v>
                </c:pt>
                <c:pt idx="27">
                  <c:v>349456071.25999999</c:v>
                </c:pt>
                <c:pt idx="28">
                  <c:v>346808619.49800003</c:v>
                </c:pt>
                <c:pt idx="29">
                  <c:v>344221007.93900001</c:v>
                </c:pt>
                <c:pt idx="30">
                  <c:v>341691108.58099997</c:v>
                </c:pt>
                <c:pt idx="31">
                  <c:v>339217132.926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2D-4EEB-87DB-ECEC57ABA433}"/>
            </c:ext>
          </c:extLst>
        </c:ser>
        <c:ser>
          <c:idx val="3"/>
          <c:order val="3"/>
          <c:tx>
            <c:strRef>
              <c:f>'Total Energy'!$B$16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Energy'!$C$16:$AH$16</c:f>
              <c:numCache>
                <c:formatCode>General</c:formatCode>
                <c:ptCount val="32"/>
                <c:pt idx="0">
                  <c:v>259975762.697</c:v>
                </c:pt>
                <c:pt idx="1">
                  <c:v>260122538.94600001</c:v>
                </c:pt>
                <c:pt idx="2">
                  <c:v>259206421.79699999</c:v>
                </c:pt>
                <c:pt idx="3">
                  <c:v>259120539.31999999</c:v>
                </c:pt>
                <c:pt idx="4">
                  <c:v>257612295.77000001</c:v>
                </c:pt>
                <c:pt idx="5">
                  <c:v>255716240.72999999</c:v>
                </c:pt>
                <c:pt idx="6">
                  <c:v>252686975.61000001</c:v>
                </c:pt>
                <c:pt idx="7">
                  <c:v>249039880.40000001</c:v>
                </c:pt>
                <c:pt idx="8">
                  <c:v>244926422.40000001</c:v>
                </c:pt>
                <c:pt idx="9">
                  <c:v>240351755.90000001</c:v>
                </c:pt>
                <c:pt idx="10">
                  <c:v>235345506.80000001</c:v>
                </c:pt>
                <c:pt idx="11">
                  <c:v>229125657.30000001</c:v>
                </c:pt>
                <c:pt idx="12">
                  <c:v>222474750.30000001</c:v>
                </c:pt>
                <c:pt idx="13">
                  <c:v>215448715.5</c:v>
                </c:pt>
                <c:pt idx="14">
                  <c:v>207943031</c:v>
                </c:pt>
                <c:pt idx="15">
                  <c:v>199938931.69999999</c:v>
                </c:pt>
                <c:pt idx="16">
                  <c:v>191720032</c:v>
                </c:pt>
                <c:pt idx="17">
                  <c:v>182908517.5</c:v>
                </c:pt>
                <c:pt idx="18">
                  <c:v>173726945.5</c:v>
                </c:pt>
                <c:pt idx="19">
                  <c:v>164263699.40000001</c:v>
                </c:pt>
                <c:pt idx="20">
                  <c:v>155034291.06999999</c:v>
                </c:pt>
                <c:pt idx="21">
                  <c:v>145872660</c:v>
                </c:pt>
                <c:pt idx="22">
                  <c:v>143483521.55000001</c:v>
                </c:pt>
                <c:pt idx="23">
                  <c:v>142503683.31</c:v>
                </c:pt>
                <c:pt idx="24">
                  <c:v>141622687.81999999</c:v>
                </c:pt>
                <c:pt idx="25">
                  <c:v>140808042.94</c:v>
                </c:pt>
                <c:pt idx="26">
                  <c:v>140010547.89199999</c:v>
                </c:pt>
                <c:pt idx="27">
                  <c:v>139141478.586</c:v>
                </c:pt>
                <c:pt idx="28">
                  <c:v>138284042.51199999</c:v>
                </c:pt>
                <c:pt idx="29">
                  <c:v>137420317.29499999</c:v>
                </c:pt>
                <c:pt idx="30">
                  <c:v>136672709.26550001</c:v>
                </c:pt>
                <c:pt idx="31">
                  <c:v>135955954.6726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2D-4EEB-87DB-ECEC57ABA433}"/>
            </c:ext>
          </c:extLst>
        </c:ser>
        <c:ser>
          <c:idx val="4"/>
          <c:order val="4"/>
          <c:tx>
            <c:strRef>
              <c:f>'Total Energy'!$B$13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Energy'!$C$13:$AH$13</c:f>
              <c:numCache>
                <c:formatCode>General</c:formatCode>
                <c:ptCount val="32"/>
                <c:pt idx="0">
                  <c:v>205953267.586</c:v>
                </c:pt>
                <c:pt idx="1">
                  <c:v>205808542.914</c:v>
                </c:pt>
                <c:pt idx="2">
                  <c:v>207084232.139</c:v>
                </c:pt>
                <c:pt idx="3">
                  <c:v>208352324.13600001</c:v>
                </c:pt>
                <c:pt idx="4">
                  <c:v>209265440.542</c:v>
                </c:pt>
                <c:pt idx="5">
                  <c:v>204992623.37</c:v>
                </c:pt>
                <c:pt idx="6">
                  <c:v>203508472.949</c:v>
                </c:pt>
                <c:pt idx="7">
                  <c:v>198920848.19</c:v>
                </c:pt>
                <c:pt idx="8">
                  <c:v>194265903.34799999</c:v>
                </c:pt>
                <c:pt idx="9">
                  <c:v>189567654.05599999</c:v>
                </c:pt>
                <c:pt idx="10">
                  <c:v>182011450.85800001</c:v>
                </c:pt>
                <c:pt idx="11">
                  <c:v>176954431.83500001</c:v>
                </c:pt>
                <c:pt idx="12">
                  <c:v>169968081.2525</c:v>
                </c:pt>
                <c:pt idx="13">
                  <c:v>162868039.98719999</c:v>
                </c:pt>
                <c:pt idx="14">
                  <c:v>155608246.8132</c:v>
                </c:pt>
                <c:pt idx="15">
                  <c:v>147255376.96364999</c:v>
                </c:pt>
                <c:pt idx="16">
                  <c:v>141848847.03762999</c:v>
                </c:pt>
                <c:pt idx="17">
                  <c:v>135234728.87061</c:v>
                </c:pt>
                <c:pt idx="18">
                  <c:v>128219062.48793</c:v>
                </c:pt>
                <c:pt idx="19">
                  <c:v>120683349.61037</c:v>
                </c:pt>
                <c:pt idx="20">
                  <c:v>111970257.13105001</c:v>
                </c:pt>
                <c:pt idx="21">
                  <c:v>104030161.00317</c:v>
                </c:pt>
                <c:pt idx="22">
                  <c:v>102789926.8303</c:v>
                </c:pt>
                <c:pt idx="23">
                  <c:v>101671190.87086999</c:v>
                </c:pt>
                <c:pt idx="24">
                  <c:v>100803699.68988</c:v>
                </c:pt>
                <c:pt idx="25">
                  <c:v>99847705.488499999</c:v>
                </c:pt>
                <c:pt idx="26">
                  <c:v>100173755.56261</c:v>
                </c:pt>
                <c:pt idx="27">
                  <c:v>100009675.16576999</c:v>
                </c:pt>
                <c:pt idx="28">
                  <c:v>99847210.59364</c:v>
                </c:pt>
                <c:pt idx="29">
                  <c:v>99685377.026160002</c:v>
                </c:pt>
                <c:pt idx="30">
                  <c:v>98937190.1382</c:v>
                </c:pt>
                <c:pt idx="31">
                  <c:v>99367932.388229996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2D-4EEB-87DB-ECEC57ABA433}"/>
            </c:ext>
          </c:extLst>
        </c:ser>
        <c:ser>
          <c:idx val="5"/>
          <c:order val="5"/>
          <c:tx>
            <c:strRef>
              <c:f>'Total Energy'!$B$12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Energy'!$C$12:$AH$12</c:f>
              <c:numCache>
                <c:formatCode>General</c:formatCode>
                <c:ptCount val="32"/>
                <c:pt idx="0">
                  <c:v>8877019.4220000003</c:v>
                </c:pt>
                <c:pt idx="1">
                  <c:v>8877019.4220000003</c:v>
                </c:pt>
                <c:pt idx="2">
                  <c:v>8877019.3288320005</c:v>
                </c:pt>
                <c:pt idx="3">
                  <c:v>8877019.2356279995</c:v>
                </c:pt>
                <c:pt idx="4">
                  <c:v>8877019.3080000002</c:v>
                </c:pt>
                <c:pt idx="5">
                  <c:v>8877019.472000001</c:v>
                </c:pt>
                <c:pt idx="6">
                  <c:v>8877019.5520000011</c:v>
                </c:pt>
                <c:pt idx="7">
                  <c:v>8877019.6420000009</c:v>
                </c:pt>
                <c:pt idx="8">
                  <c:v>8877018.7120000012</c:v>
                </c:pt>
                <c:pt idx="9">
                  <c:v>8877019.7919999994</c:v>
                </c:pt>
                <c:pt idx="10">
                  <c:v>8877018.9220000003</c:v>
                </c:pt>
                <c:pt idx="11">
                  <c:v>8877018.9220000003</c:v>
                </c:pt>
                <c:pt idx="12">
                  <c:v>8877018.722000001</c:v>
                </c:pt>
                <c:pt idx="13">
                  <c:v>8877019.5219999999</c:v>
                </c:pt>
                <c:pt idx="14">
                  <c:v>8877018.9220000003</c:v>
                </c:pt>
                <c:pt idx="15">
                  <c:v>8877019.1219999995</c:v>
                </c:pt>
                <c:pt idx="16">
                  <c:v>8877019.6219999995</c:v>
                </c:pt>
                <c:pt idx="17">
                  <c:v>8877019.222000001</c:v>
                </c:pt>
                <c:pt idx="18">
                  <c:v>8877018.9220000003</c:v>
                </c:pt>
                <c:pt idx="19">
                  <c:v>8877019.0219999999</c:v>
                </c:pt>
                <c:pt idx="20">
                  <c:v>8877019.8220000006</c:v>
                </c:pt>
                <c:pt idx="21">
                  <c:v>8877019.4220000003</c:v>
                </c:pt>
                <c:pt idx="22">
                  <c:v>8877019.0219999999</c:v>
                </c:pt>
                <c:pt idx="23">
                  <c:v>8877018.722000001</c:v>
                </c:pt>
                <c:pt idx="24">
                  <c:v>8877018.8220000006</c:v>
                </c:pt>
                <c:pt idx="25">
                  <c:v>8877019.1220000014</c:v>
                </c:pt>
                <c:pt idx="26">
                  <c:v>8877019.4220000003</c:v>
                </c:pt>
                <c:pt idx="27">
                  <c:v>8877019.7219999991</c:v>
                </c:pt>
                <c:pt idx="28">
                  <c:v>8877019.9220000003</c:v>
                </c:pt>
                <c:pt idx="29">
                  <c:v>8877018.8220000006</c:v>
                </c:pt>
                <c:pt idx="30">
                  <c:v>8877019.2219999991</c:v>
                </c:pt>
                <c:pt idx="31">
                  <c:v>8877018.9220000003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2D-4EEB-87DB-ECEC57AB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0001"/>
        <c:axId val="50290002"/>
      </c:areaChart>
      <c:catAx>
        <c:axId val="502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90002"/>
        <c:crosses val="autoZero"/>
        <c:auto val="1"/>
        <c:lblAlgn val="ctr"/>
        <c:lblOffset val="100"/>
        <c:tickLblSkip val="2"/>
        <c:noMultiLvlLbl val="0"/>
      </c:catAx>
      <c:valAx>
        <c:axId val="502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29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Emissions'!$B$18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Emissions'!$C$18,'Total Emissions'!$AH$18)</c:f>
              <c:numCache>
                <c:formatCode>General</c:formatCode>
                <c:ptCount val="2"/>
                <c:pt idx="0">
                  <c:v>48408352.039399996</c:v>
                </c:pt>
                <c:pt idx="1">
                  <c:v>9114330.6951000001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7-462A-9825-3BC9C1D8A95F}"/>
            </c:ext>
          </c:extLst>
        </c:ser>
        <c:ser>
          <c:idx val="1"/>
          <c:order val="1"/>
          <c:tx>
            <c:strRef>
              <c:f>'Total Emissions'!$B$16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Emissions'!$C$16,'Total Emissions'!$AH$16)</c:f>
              <c:numCache>
                <c:formatCode>General</c:formatCode>
                <c:ptCount val="2"/>
                <c:pt idx="0">
                  <c:v>20476927.013766222</c:v>
                </c:pt>
                <c:pt idx="1">
                  <c:v>11527533.6689987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7-462A-9825-3BC9C1D8A95F}"/>
            </c:ext>
          </c:extLst>
        </c:ser>
        <c:ser>
          <c:idx val="2"/>
          <c:order val="2"/>
          <c:tx>
            <c:strRef>
              <c:f>'Total Emissions'!$B$14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Emissions'!$C$14,'Total Emissions'!$AH$14)</c:f>
              <c:numCache>
                <c:formatCode>General</c:formatCode>
                <c:ptCount val="2"/>
                <c:pt idx="0">
                  <c:v>18990147.210269999</c:v>
                </c:pt>
                <c:pt idx="1">
                  <c:v>3268153.3665700001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B7-462A-9825-3BC9C1D8A95F}"/>
            </c:ext>
          </c:extLst>
        </c:ser>
        <c:ser>
          <c:idx val="3"/>
          <c:order val="3"/>
          <c:tx>
            <c:strRef>
              <c:f>'Total Emissions'!$B$17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Emissions'!$C$17,'Total Emissions'!$AH$17)</c:f>
              <c:numCache>
                <c:formatCode>General</c:formatCode>
                <c:ptCount val="2"/>
                <c:pt idx="0">
                  <c:v>9744535.1999999993</c:v>
                </c:pt>
                <c:pt idx="1">
                  <c:v>233459.9932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B7-462A-9825-3BC9C1D8A95F}"/>
            </c:ext>
          </c:extLst>
        </c:ser>
        <c:ser>
          <c:idx val="4"/>
          <c:order val="4"/>
          <c:tx>
            <c:strRef>
              <c:f>'Total Emissions'!$B$13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Emissions'!$C$13,'Total Emissions'!$AH$13)</c:f>
              <c:numCache>
                <c:formatCode>General</c:formatCode>
                <c:ptCount val="2"/>
                <c:pt idx="0">
                  <c:v>7899613.5607049996</c:v>
                </c:pt>
                <c:pt idx="1">
                  <c:v>886002.51347300003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B7-462A-9825-3BC9C1D8A95F}"/>
            </c:ext>
          </c:extLst>
        </c:ser>
        <c:ser>
          <c:idx val="5"/>
          <c:order val="5"/>
          <c:tx>
            <c:strRef>
              <c:f>'Total Emissions'!$B$12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Emissions'!$C$12,'Total Emissions'!$AH$12)</c:f>
              <c:numCache>
                <c:formatCode>General</c:formatCode>
                <c:ptCount val="2"/>
                <c:pt idx="0">
                  <c:v>378717.85989999998</c:v>
                </c:pt>
                <c:pt idx="1">
                  <c:v>186142.64449999999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B7-462A-9825-3BC9C1D8A95F}"/>
            </c:ext>
          </c:extLst>
        </c:ser>
        <c:ser>
          <c:idx val="6"/>
          <c:order val="6"/>
          <c:tx>
            <c:strRef>
              <c:f>'Total Emissions'!$B$15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Emissions'!$C$15,'Total Emissions'!$AH$15)</c:f>
              <c:numCache>
                <c:formatCode>General</c:formatCode>
                <c:ptCount val="2"/>
                <c:pt idx="0">
                  <c:v>221100.7</c:v>
                </c:pt>
                <c:pt idx="1">
                  <c:v>40845.61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B7-462A-9825-3BC9C1D8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30001"/>
        <c:axId val="50030002"/>
      </c:barChart>
      <c:catAx>
        <c:axId val="500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3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Energy'!$B$14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Energy'!$C$14,'Total Energy'!$AH$14)</c:f>
              <c:numCache>
                <c:formatCode>General</c:formatCode>
                <c:ptCount val="2"/>
                <c:pt idx="0">
                  <c:v>701026638.59179997</c:v>
                </c:pt>
                <c:pt idx="1">
                  <c:v>520458544.14579999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3FC-B36A-5473B8E3BCE5}"/>
            </c:ext>
          </c:extLst>
        </c:ser>
        <c:ser>
          <c:idx val="1"/>
          <c:order val="1"/>
          <c:tx>
            <c:strRef>
              <c:f>'Total Energy'!$B$17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Energy'!$C$17,'Total Energy'!$AH$17)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184809207.74000001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3FC-B36A-5473B8E3BCE5}"/>
            </c:ext>
          </c:extLst>
        </c:ser>
        <c:ser>
          <c:idx val="2"/>
          <c:order val="2"/>
          <c:tx>
            <c:strRef>
              <c:f>'Total Energy'!$B$15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Energy'!$C$15,'Total Energy'!$AH$15)</c:f>
              <c:numCache>
                <c:formatCode>General</c:formatCode>
                <c:ptCount val="2"/>
                <c:pt idx="0">
                  <c:v>424886232.45700002</c:v>
                </c:pt>
                <c:pt idx="1">
                  <c:v>339217132.926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C-43FC-B36A-5473B8E3BCE5}"/>
            </c:ext>
          </c:extLst>
        </c:ser>
        <c:ser>
          <c:idx val="3"/>
          <c:order val="3"/>
          <c:tx>
            <c:strRef>
              <c:f>'Total Energy'!$B$16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Energy'!$C$16,'Total Energy'!$AH$16)</c:f>
              <c:numCache>
                <c:formatCode>General</c:formatCode>
                <c:ptCount val="2"/>
                <c:pt idx="0">
                  <c:v>259975762.697</c:v>
                </c:pt>
                <c:pt idx="1">
                  <c:v>135955954.6726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C-43FC-B36A-5473B8E3BCE5}"/>
            </c:ext>
          </c:extLst>
        </c:ser>
        <c:ser>
          <c:idx val="4"/>
          <c:order val="4"/>
          <c:tx>
            <c:strRef>
              <c:f>'Total Energy'!$B$13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Energy'!$C$13,'Total Energy'!$AH$13)</c:f>
              <c:numCache>
                <c:formatCode>General</c:formatCode>
                <c:ptCount val="2"/>
                <c:pt idx="0">
                  <c:v>205953267.586</c:v>
                </c:pt>
                <c:pt idx="1">
                  <c:v>99367932.388229996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C-43FC-B36A-5473B8E3BCE5}"/>
            </c:ext>
          </c:extLst>
        </c:ser>
        <c:ser>
          <c:idx val="5"/>
          <c:order val="5"/>
          <c:tx>
            <c:strRef>
              <c:f>'Total Energy'!$B$12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Energy'!$C$12,'Total Energy'!$AH$12)</c:f>
              <c:numCache>
                <c:formatCode>General</c:formatCode>
                <c:ptCount val="2"/>
                <c:pt idx="0">
                  <c:v>8877019.4220000003</c:v>
                </c:pt>
                <c:pt idx="1">
                  <c:v>8877018.9220000003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C-43FC-B36A-5473B8E3B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300001"/>
        <c:axId val="50300002"/>
      </c:barChart>
      <c:catAx>
        <c:axId val="503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00002"/>
        <c:crosses val="autoZero"/>
        <c:auto val="1"/>
        <c:lblAlgn val="ctr"/>
        <c:lblOffset val="100"/>
        <c:noMultiLvlLbl val="0"/>
      </c:catAx>
      <c:valAx>
        <c:axId val="503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0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Energy'!$B$21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Energy'!$C$21:$AH$21</c:f>
              <c:numCache>
                <c:formatCode>General</c:formatCode>
                <c:ptCount val="32"/>
                <c:pt idx="0">
                  <c:v>701026638.59179997</c:v>
                </c:pt>
                <c:pt idx="1">
                  <c:v>699700696.91180003</c:v>
                </c:pt>
                <c:pt idx="2">
                  <c:v>699700687.25639999</c:v>
                </c:pt>
                <c:pt idx="3">
                  <c:v>699700688.61179996</c:v>
                </c:pt>
                <c:pt idx="4">
                  <c:v>699700686.24449003</c:v>
                </c:pt>
                <c:pt idx="5">
                  <c:v>699700681.39139998</c:v>
                </c:pt>
                <c:pt idx="6">
                  <c:v>653171961.0381</c:v>
                </c:pt>
                <c:pt idx="7">
                  <c:v>652107683.99880004</c:v>
                </c:pt>
                <c:pt idx="8">
                  <c:v>651074696.35979998</c:v>
                </c:pt>
                <c:pt idx="9">
                  <c:v>650071683.87580001</c:v>
                </c:pt>
                <c:pt idx="10">
                  <c:v>649097298.16680002</c:v>
                </c:pt>
                <c:pt idx="11">
                  <c:v>566783077.30180001</c:v>
                </c:pt>
                <c:pt idx="12">
                  <c:v>565862450.54279995</c:v>
                </c:pt>
                <c:pt idx="13">
                  <c:v>564967048.33879995</c:v>
                </c:pt>
                <c:pt idx="14">
                  <c:v>564095855.62779999</c:v>
                </c:pt>
                <c:pt idx="15">
                  <c:v>563247877.11479998</c:v>
                </c:pt>
                <c:pt idx="16">
                  <c:v>562422239.59080005</c:v>
                </c:pt>
                <c:pt idx="17">
                  <c:v>561618027.43579996</c:v>
                </c:pt>
                <c:pt idx="18">
                  <c:v>560834425.49979997</c:v>
                </c:pt>
                <c:pt idx="19">
                  <c:v>560070680.34979999</c:v>
                </c:pt>
                <c:pt idx="20">
                  <c:v>559326024.08179998</c:v>
                </c:pt>
                <c:pt idx="21">
                  <c:v>558599754.48479998</c:v>
                </c:pt>
                <c:pt idx="22">
                  <c:v>557891208.41280007</c:v>
                </c:pt>
                <c:pt idx="23">
                  <c:v>557199720.93480003</c:v>
                </c:pt>
                <c:pt idx="24">
                  <c:v>556524704.36179996</c:v>
                </c:pt>
                <c:pt idx="25">
                  <c:v>555865565.14479995</c:v>
                </c:pt>
                <c:pt idx="26">
                  <c:v>535424583.93379998</c:v>
                </c:pt>
                <c:pt idx="27">
                  <c:v>534795576.75370002</c:v>
                </c:pt>
                <c:pt idx="28">
                  <c:v>534180859.82669997</c:v>
                </c:pt>
                <c:pt idx="29">
                  <c:v>533579969.92257613</c:v>
                </c:pt>
                <c:pt idx="30">
                  <c:v>532992430.56831223</c:v>
                </c:pt>
                <c:pt idx="31">
                  <c:v>532417792.20896411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7-4E7C-A5FC-9F65AA3BEBB0}"/>
            </c:ext>
          </c:extLst>
        </c:ser>
        <c:ser>
          <c:idx val="1"/>
          <c:order val="1"/>
          <c:tx>
            <c:strRef>
              <c:f>'Total Energy'!$B$24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Energy'!$C$24:$AH$24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581576074.03999996</c:v>
                </c:pt>
                <c:pt idx="2">
                  <c:v>568852497.02999997</c:v>
                </c:pt>
                <c:pt idx="3">
                  <c:v>552869843.84000003</c:v>
                </c:pt>
                <c:pt idx="4">
                  <c:v>537901288.13999999</c:v>
                </c:pt>
                <c:pt idx="5">
                  <c:v>517183600.44</c:v>
                </c:pt>
                <c:pt idx="6">
                  <c:v>485260075.83999997</c:v>
                </c:pt>
                <c:pt idx="7">
                  <c:v>461167333.83999997</c:v>
                </c:pt>
                <c:pt idx="8">
                  <c:v>435711945.83999997</c:v>
                </c:pt>
                <c:pt idx="9">
                  <c:v>409809891.83999997</c:v>
                </c:pt>
                <c:pt idx="10">
                  <c:v>384973084.83999997</c:v>
                </c:pt>
                <c:pt idx="11">
                  <c:v>363516151.83999997</c:v>
                </c:pt>
                <c:pt idx="12">
                  <c:v>344915845.83999997</c:v>
                </c:pt>
                <c:pt idx="13">
                  <c:v>328662512.83999997</c:v>
                </c:pt>
                <c:pt idx="14">
                  <c:v>313644193.83999997</c:v>
                </c:pt>
                <c:pt idx="15">
                  <c:v>296863579.83999997</c:v>
                </c:pt>
                <c:pt idx="16">
                  <c:v>282627639.83999997</c:v>
                </c:pt>
                <c:pt idx="17">
                  <c:v>272337219.83999997</c:v>
                </c:pt>
                <c:pt idx="18">
                  <c:v>261941869.84</c:v>
                </c:pt>
                <c:pt idx="19">
                  <c:v>251902175.84</c:v>
                </c:pt>
                <c:pt idx="20">
                  <c:v>242574276.84</c:v>
                </c:pt>
                <c:pt idx="21">
                  <c:v>234070224.84</c:v>
                </c:pt>
                <c:pt idx="22">
                  <c:v>228185213.84</c:v>
                </c:pt>
                <c:pt idx="23">
                  <c:v>222735087.84</c:v>
                </c:pt>
                <c:pt idx="24">
                  <c:v>217860536.84</c:v>
                </c:pt>
                <c:pt idx="25">
                  <c:v>213617179.84</c:v>
                </c:pt>
                <c:pt idx="26">
                  <c:v>209981367.84</c:v>
                </c:pt>
                <c:pt idx="27">
                  <c:v>206937443.84</c:v>
                </c:pt>
                <c:pt idx="28">
                  <c:v>204424189.84</c:v>
                </c:pt>
                <c:pt idx="29">
                  <c:v>202372777.84</c:v>
                </c:pt>
                <c:pt idx="30">
                  <c:v>200688262.03999999</c:v>
                </c:pt>
                <c:pt idx="31">
                  <c:v>199239710.03999999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A7-4E7C-A5FC-9F65AA3BEBB0}"/>
            </c:ext>
          </c:extLst>
        </c:ser>
        <c:ser>
          <c:idx val="2"/>
          <c:order val="2"/>
          <c:tx>
            <c:strRef>
              <c:f>'Total Energy'!$B$22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Energy'!$C$22:$AH$22</c:f>
              <c:numCache>
                <c:formatCode>General</c:formatCode>
                <c:ptCount val="32"/>
                <c:pt idx="0">
                  <c:v>424886232.45700002</c:v>
                </c:pt>
                <c:pt idx="1">
                  <c:v>424928230.16000003</c:v>
                </c:pt>
                <c:pt idx="2">
                  <c:v>424928229.66500002</c:v>
                </c:pt>
                <c:pt idx="3">
                  <c:v>430696172.09500003</c:v>
                </c:pt>
                <c:pt idx="4">
                  <c:v>435877307.89560002</c:v>
                </c:pt>
                <c:pt idx="5">
                  <c:v>443106411.449</c:v>
                </c:pt>
                <c:pt idx="6">
                  <c:v>446388948.71399999</c:v>
                </c:pt>
                <c:pt idx="7">
                  <c:v>448421941.72799999</c:v>
                </c:pt>
                <c:pt idx="8">
                  <c:v>450252796.18599999</c:v>
                </c:pt>
                <c:pt idx="9">
                  <c:v>451900777.21899998</c:v>
                </c:pt>
                <c:pt idx="10">
                  <c:v>453236778.66100001</c:v>
                </c:pt>
                <c:pt idx="11">
                  <c:v>453364313.236</c:v>
                </c:pt>
                <c:pt idx="12">
                  <c:v>456950289.86199999</c:v>
                </c:pt>
                <c:pt idx="13">
                  <c:v>460271922.08099997</c:v>
                </c:pt>
                <c:pt idx="14">
                  <c:v>463370385.32999998</c:v>
                </c:pt>
                <c:pt idx="15">
                  <c:v>466227474.16799998</c:v>
                </c:pt>
                <c:pt idx="16">
                  <c:v>469153281.25400001</c:v>
                </c:pt>
                <c:pt idx="17">
                  <c:v>467622828.73400003</c:v>
                </c:pt>
                <c:pt idx="18">
                  <c:v>466229760.17000002</c:v>
                </c:pt>
                <c:pt idx="19">
                  <c:v>464958913.31300002</c:v>
                </c:pt>
                <c:pt idx="20">
                  <c:v>463752807.22799999</c:v>
                </c:pt>
                <c:pt idx="21">
                  <c:v>462741251.14700001</c:v>
                </c:pt>
                <c:pt idx="22">
                  <c:v>461692286.634</c:v>
                </c:pt>
                <c:pt idx="23">
                  <c:v>460713570.91799998</c:v>
                </c:pt>
                <c:pt idx="24">
                  <c:v>459791920.82700002</c:v>
                </c:pt>
                <c:pt idx="25">
                  <c:v>458902692.81599998</c:v>
                </c:pt>
                <c:pt idx="26">
                  <c:v>457349129.38999999</c:v>
                </c:pt>
                <c:pt idx="27">
                  <c:v>456390882.17699999</c:v>
                </c:pt>
                <c:pt idx="28">
                  <c:v>455463094.06</c:v>
                </c:pt>
                <c:pt idx="29">
                  <c:v>454561991.0180952</c:v>
                </c:pt>
                <c:pt idx="30">
                  <c:v>453644315.69102961</c:v>
                </c:pt>
                <c:pt idx="31">
                  <c:v>452831486.69287968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A7-4E7C-A5FC-9F65AA3BEBB0}"/>
            </c:ext>
          </c:extLst>
        </c:ser>
        <c:ser>
          <c:idx val="3"/>
          <c:order val="3"/>
          <c:tx>
            <c:strRef>
              <c:f>'Total Energy'!$B$23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Energy'!$C$23:$AH$23</c:f>
              <c:numCache>
                <c:formatCode>General</c:formatCode>
                <c:ptCount val="32"/>
                <c:pt idx="0">
                  <c:v>259975762.697</c:v>
                </c:pt>
                <c:pt idx="1">
                  <c:v>260122538.94600001</c:v>
                </c:pt>
                <c:pt idx="2">
                  <c:v>259206420.296</c:v>
                </c:pt>
                <c:pt idx="3">
                  <c:v>259120535.037</c:v>
                </c:pt>
                <c:pt idx="4">
                  <c:v>257612294.34</c:v>
                </c:pt>
                <c:pt idx="5">
                  <c:v>255461437.81900001</c:v>
                </c:pt>
                <c:pt idx="6">
                  <c:v>252000878.94999999</c:v>
                </c:pt>
                <c:pt idx="7">
                  <c:v>247812615.55399999</c:v>
                </c:pt>
                <c:pt idx="8">
                  <c:v>243059654.95500001</c:v>
                </c:pt>
                <c:pt idx="9">
                  <c:v>237708932.27200001</c:v>
                </c:pt>
                <c:pt idx="10">
                  <c:v>231730678.914</c:v>
                </c:pt>
                <c:pt idx="11">
                  <c:v>224344226.36000001</c:v>
                </c:pt>
                <c:pt idx="12">
                  <c:v>216412591.683</c:v>
                </c:pt>
                <c:pt idx="13">
                  <c:v>208101154.102</c:v>
                </c:pt>
                <c:pt idx="14">
                  <c:v>199418063.51199999</c:v>
                </c:pt>
                <c:pt idx="15">
                  <c:v>190425191.38</c:v>
                </c:pt>
                <c:pt idx="16">
                  <c:v>181446598.296</c:v>
                </c:pt>
                <c:pt idx="17">
                  <c:v>172164576.37099999</c:v>
                </c:pt>
                <c:pt idx="18">
                  <c:v>162813931.99399999</c:v>
                </c:pt>
                <c:pt idx="19">
                  <c:v>153480307.81799999</c:v>
                </c:pt>
                <c:pt idx="20">
                  <c:v>144602568.06799999</c:v>
                </c:pt>
                <c:pt idx="21">
                  <c:v>135992413.50999999</c:v>
                </c:pt>
                <c:pt idx="22">
                  <c:v>133452595.59100001</c:v>
                </c:pt>
                <c:pt idx="23">
                  <c:v>132215765.478</c:v>
                </c:pt>
                <c:pt idx="24">
                  <c:v>131120664.414</c:v>
                </c:pt>
                <c:pt idx="25">
                  <c:v>130128293.311</c:v>
                </c:pt>
                <c:pt idx="26">
                  <c:v>129189435.332</c:v>
                </c:pt>
                <c:pt idx="27">
                  <c:v>128224667.02599999</c:v>
                </c:pt>
                <c:pt idx="28">
                  <c:v>127313367.78200001</c:v>
                </c:pt>
                <c:pt idx="29">
                  <c:v>126436419.08097009</c:v>
                </c:pt>
                <c:pt idx="30">
                  <c:v>125701187.916581</c:v>
                </c:pt>
                <c:pt idx="31">
                  <c:v>125025027.861902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A7-4E7C-A5FC-9F65AA3BEBB0}"/>
            </c:ext>
          </c:extLst>
        </c:ser>
        <c:ser>
          <c:idx val="4"/>
          <c:order val="4"/>
          <c:tx>
            <c:strRef>
              <c:f>'Total Energy'!$B$20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Energy'!$C$20:$AH$20</c:f>
              <c:numCache>
                <c:formatCode>General</c:formatCode>
                <c:ptCount val="32"/>
                <c:pt idx="0">
                  <c:v>205953267.586</c:v>
                </c:pt>
                <c:pt idx="1">
                  <c:v>205808532.014</c:v>
                </c:pt>
                <c:pt idx="2">
                  <c:v>207084220.95899999</c:v>
                </c:pt>
                <c:pt idx="3">
                  <c:v>208352342.46599999</c:v>
                </c:pt>
                <c:pt idx="4">
                  <c:v>209291377.50650001</c:v>
                </c:pt>
                <c:pt idx="5">
                  <c:v>205022162.68599999</c:v>
                </c:pt>
                <c:pt idx="6">
                  <c:v>203540982.90599999</c:v>
                </c:pt>
                <c:pt idx="7">
                  <c:v>198955629.96200001</c:v>
                </c:pt>
                <c:pt idx="8">
                  <c:v>194302825.905</c:v>
                </c:pt>
                <c:pt idx="9">
                  <c:v>189606654.993</c:v>
                </c:pt>
                <c:pt idx="10">
                  <c:v>182613677.83899999</c:v>
                </c:pt>
                <c:pt idx="11">
                  <c:v>178213733.62400001</c:v>
                </c:pt>
                <c:pt idx="12">
                  <c:v>171992143.1047</c:v>
                </c:pt>
                <c:pt idx="13">
                  <c:v>165710811.01640001</c:v>
                </c:pt>
                <c:pt idx="14">
                  <c:v>159287084.87830001</c:v>
                </c:pt>
                <c:pt idx="15">
                  <c:v>151756438.31698</c:v>
                </c:pt>
                <c:pt idx="16">
                  <c:v>146863525.12821999</c:v>
                </c:pt>
                <c:pt idx="17">
                  <c:v>140663956.61291</c:v>
                </c:pt>
                <c:pt idx="18">
                  <c:v>133929262.25879</c:v>
                </c:pt>
                <c:pt idx="19">
                  <c:v>126504771.73616999</c:v>
                </c:pt>
                <c:pt idx="20">
                  <c:v>117722414.6636</c:v>
                </c:pt>
                <c:pt idx="21">
                  <c:v>109582006.08137</c:v>
                </c:pt>
                <c:pt idx="22">
                  <c:v>108135339.01774999</c:v>
                </c:pt>
                <c:pt idx="23">
                  <c:v>106799542.98657</c:v>
                </c:pt>
                <c:pt idx="24">
                  <c:v>105693043.77586</c:v>
                </c:pt>
                <c:pt idx="25">
                  <c:v>104556944.58007</c:v>
                </c:pt>
                <c:pt idx="26">
                  <c:v>104818661.77816001</c:v>
                </c:pt>
                <c:pt idx="27">
                  <c:v>104574334.66564</c:v>
                </c:pt>
                <c:pt idx="28">
                  <c:v>104332053.40582</c:v>
                </c:pt>
                <c:pt idx="29">
                  <c:v>104090805.232896</c:v>
                </c:pt>
                <c:pt idx="30">
                  <c:v>103245963.10875361</c:v>
                </c:pt>
                <c:pt idx="31">
                  <c:v>103616179.6102751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A7-4E7C-A5FC-9F65AA3BEBB0}"/>
            </c:ext>
          </c:extLst>
        </c:ser>
        <c:ser>
          <c:idx val="5"/>
          <c:order val="5"/>
          <c:tx>
            <c:strRef>
              <c:f>'Total Energy'!$B$19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Energy'!$C$19:$AH$19</c:f>
              <c:numCache>
                <c:formatCode>General</c:formatCode>
                <c:ptCount val="32"/>
                <c:pt idx="0">
                  <c:v>8877019.4220000003</c:v>
                </c:pt>
                <c:pt idx="1">
                  <c:v>8877019.4220000003</c:v>
                </c:pt>
                <c:pt idx="2">
                  <c:v>8877019.4220000003</c:v>
                </c:pt>
                <c:pt idx="3">
                  <c:v>8877019.4220000003</c:v>
                </c:pt>
                <c:pt idx="4">
                  <c:v>8877019.5591599997</c:v>
                </c:pt>
                <c:pt idx="5">
                  <c:v>8877019.8000000007</c:v>
                </c:pt>
                <c:pt idx="6">
                  <c:v>8877018.9215999991</c:v>
                </c:pt>
                <c:pt idx="7">
                  <c:v>8877019.1951000001</c:v>
                </c:pt>
                <c:pt idx="8">
                  <c:v>8877019.3910000008</c:v>
                </c:pt>
                <c:pt idx="9">
                  <c:v>8877019.5470000003</c:v>
                </c:pt>
                <c:pt idx="10">
                  <c:v>8877019.875</c:v>
                </c:pt>
                <c:pt idx="11">
                  <c:v>8877020.0189999994</c:v>
                </c:pt>
                <c:pt idx="12">
                  <c:v>8877019.2550000008</c:v>
                </c:pt>
                <c:pt idx="13">
                  <c:v>8877019.3910000008</c:v>
                </c:pt>
                <c:pt idx="14">
                  <c:v>8877019.5879999995</c:v>
                </c:pt>
                <c:pt idx="15">
                  <c:v>8877019.8900000006</c:v>
                </c:pt>
                <c:pt idx="16">
                  <c:v>8877020.4649999999</c:v>
                </c:pt>
                <c:pt idx="17">
                  <c:v>8877020.4120000005</c:v>
                </c:pt>
                <c:pt idx="18">
                  <c:v>8877019.4509999994</c:v>
                </c:pt>
                <c:pt idx="19">
                  <c:v>8877019.477</c:v>
                </c:pt>
                <c:pt idx="20">
                  <c:v>8877020.5099999998</c:v>
                </c:pt>
                <c:pt idx="21">
                  <c:v>8877019.938000001</c:v>
                </c:pt>
                <c:pt idx="22">
                  <c:v>8877020.0489999987</c:v>
                </c:pt>
                <c:pt idx="23">
                  <c:v>8877020.1270000003</c:v>
                </c:pt>
                <c:pt idx="24">
                  <c:v>8877020.0419999994</c:v>
                </c:pt>
                <c:pt idx="25">
                  <c:v>8877020.7131000012</c:v>
                </c:pt>
                <c:pt idx="26">
                  <c:v>8877019.9605</c:v>
                </c:pt>
                <c:pt idx="27">
                  <c:v>8877019.9884000011</c:v>
                </c:pt>
                <c:pt idx="28">
                  <c:v>8877020.4211999997</c:v>
                </c:pt>
                <c:pt idx="29">
                  <c:v>8877020.6609176919</c:v>
                </c:pt>
                <c:pt idx="30">
                  <c:v>8877020.6609176919</c:v>
                </c:pt>
                <c:pt idx="31">
                  <c:v>8877020.6609176919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A7-4E7C-A5FC-9F65AA3BE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10001"/>
        <c:axId val="50310002"/>
      </c:areaChart>
      <c:catAx>
        <c:axId val="503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10002"/>
        <c:crosses val="autoZero"/>
        <c:auto val="1"/>
        <c:lblAlgn val="ctr"/>
        <c:lblOffset val="100"/>
        <c:tickLblSkip val="2"/>
        <c:noMultiLvlLbl val="0"/>
      </c:catAx>
      <c:valAx>
        <c:axId val="503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1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Energy'!$B$21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Energy'!$C$21,'Total Energy'!$AH$21)</c:f>
              <c:numCache>
                <c:formatCode>General</c:formatCode>
                <c:ptCount val="2"/>
                <c:pt idx="0">
                  <c:v>701026638.59179997</c:v>
                </c:pt>
                <c:pt idx="1">
                  <c:v>532417792.20896411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8-48EB-8AE4-F8EE9349937D}"/>
            </c:ext>
          </c:extLst>
        </c:ser>
        <c:ser>
          <c:idx val="1"/>
          <c:order val="1"/>
          <c:tx>
            <c:strRef>
              <c:f>'Total Energy'!$B$24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Energy'!$C$24,'Total Energy'!$AH$24)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199239710.03999999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8-48EB-8AE4-F8EE9349937D}"/>
            </c:ext>
          </c:extLst>
        </c:ser>
        <c:ser>
          <c:idx val="2"/>
          <c:order val="2"/>
          <c:tx>
            <c:strRef>
              <c:f>'Total Energy'!$B$22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Energy'!$C$22,'Total Energy'!$AH$22)</c:f>
              <c:numCache>
                <c:formatCode>General</c:formatCode>
                <c:ptCount val="2"/>
                <c:pt idx="0">
                  <c:v>424886232.45700002</c:v>
                </c:pt>
                <c:pt idx="1">
                  <c:v>452831486.69287968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28-48EB-8AE4-F8EE9349937D}"/>
            </c:ext>
          </c:extLst>
        </c:ser>
        <c:ser>
          <c:idx val="3"/>
          <c:order val="3"/>
          <c:tx>
            <c:strRef>
              <c:f>'Total Energy'!$B$23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Energy'!$C$23,'Total Energy'!$AH$23)</c:f>
              <c:numCache>
                <c:formatCode>General</c:formatCode>
                <c:ptCount val="2"/>
                <c:pt idx="0">
                  <c:v>259975762.697</c:v>
                </c:pt>
                <c:pt idx="1">
                  <c:v>125025027.861902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8-48EB-8AE4-F8EE9349937D}"/>
            </c:ext>
          </c:extLst>
        </c:ser>
        <c:ser>
          <c:idx val="4"/>
          <c:order val="4"/>
          <c:tx>
            <c:strRef>
              <c:f>'Total Energy'!$B$20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Energy'!$C$20,'Total Energy'!$AH$20)</c:f>
              <c:numCache>
                <c:formatCode>General</c:formatCode>
                <c:ptCount val="2"/>
                <c:pt idx="0">
                  <c:v>205953267.586</c:v>
                </c:pt>
                <c:pt idx="1">
                  <c:v>103616179.6102751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28-48EB-8AE4-F8EE9349937D}"/>
            </c:ext>
          </c:extLst>
        </c:ser>
        <c:ser>
          <c:idx val="5"/>
          <c:order val="5"/>
          <c:tx>
            <c:strRef>
              <c:f>'Total Energy'!$B$19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Energy'!$C$19,'Total Energy'!$AH$19)</c:f>
              <c:numCache>
                <c:formatCode>General</c:formatCode>
                <c:ptCount val="2"/>
                <c:pt idx="0">
                  <c:v>8877019.4220000003</c:v>
                </c:pt>
                <c:pt idx="1">
                  <c:v>8877020.6609176919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28-48EB-8AE4-F8EE9349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320001"/>
        <c:axId val="50320002"/>
      </c:barChart>
      <c:catAx>
        <c:axId val="503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20002"/>
        <c:crosses val="autoZero"/>
        <c:auto val="1"/>
        <c:lblAlgn val="ctr"/>
        <c:lblOffset val="100"/>
        <c:noMultiLvlLbl val="0"/>
      </c:catAx>
      <c:valAx>
        <c:axId val="503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Energy'!$B$28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Energy'!$C$28:$AH$28</c:f>
              <c:numCache>
                <c:formatCode>General</c:formatCode>
                <c:ptCount val="32"/>
                <c:pt idx="0">
                  <c:v>701026638.59179997</c:v>
                </c:pt>
                <c:pt idx="1">
                  <c:v>699700696.91180003</c:v>
                </c:pt>
                <c:pt idx="2">
                  <c:v>699700687.25639999</c:v>
                </c:pt>
                <c:pt idx="3">
                  <c:v>699700688.61179996</c:v>
                </c:pt>
                <c:pt idx="4">
                  <c:v>698783868.09449005</c:v>
                </c:pt>
                <c:pt idx="5">
                  <c:v>697846037.30690002</c:v>
                </c:pt>
                <c:pt idx="6">
                  <c:v>650397967.61259997</c:v>
                </c:pt>
                <c:pt idx="7">
                  <c:v>648401020.4138</c:v>
                </c:pt>
                <c:pt idx="8">
                  <c:v>646435500.84879994</c:v>
                </c:pt>
                <c:pt idx="9">
                  <c:v>644500063.3118</c:v>
                </c:pt>
                <c:pt idx="10">
                  <c:v>642593124.48580003</c:v>
                </c:pt>
                <c:pt idx="11">
                  <c:v>559415538.11479998</c:v>
                </c:pt>
                <c:pt idx="12">
                  <c:v>557570754.98080003</c:v>
                </c:pt>
                <c:pt idx="13">
                  <c:v>555751049.80879998</c:v>
                </c:pt>
                <c:pt idx="14">
                  <c:v>553955169.83280003</c:v>
                </c:pt>
                <c:pt idx="15">
                  <c:v>552182232.19580007</c:v>
                </c:pt>
                <c:pt idx="16">
                  <c:v>550431099.84679997</c:v>
                </c:pt>
                <c:pt idx="17">
                  <c:v>549626778.78380001</c:v>
                </c:pt>
                <c:pt idx="18">
                  <c:v>548843290.77279997</c:v>
                </c:pt>
                <c:pt idx="19">
                  <c:v>548079438.54579997</c:v>
                </c:pt>
                <c:pt idx="20">
                  <c:v>547334910.39980006</c:v>
                </c:pt>
                <c:pt idx="21">
                  <c:v>546608514.88069999</c:v>
                </c:pt>
                <c:pt idx="22">
                  <c:v>545900082.15601766</c:v>
                </c:pt>
                <c:pt idx="23">
                  <c:v>545208479.54282272</c:v>
                </c:pt>
                <c:pt idx="24">
                  <c:v>544533571.54677522</c:v>
                </c:pt>
                <c:pt idx="25">
                  <c:v>543874434.78186989</c:v>
                </c:pt>
                <c:pt idx="26">
                  <c:v>523465330.02210212</c:v>
                </c:pt>
                <c:pt idx="27">
                  <c:v>522836324.68046677</c:v>
                </c:pt>
                <c:pt idx="28">
                  <c:v>522221728.43695951</c:v>
                </c:pt>
                <c:pt idx="29">
                  <c:v>521620724.22257608</c:v>
                </c:pt>
                <c:pt idx="30">
                  <c:v>521033175.9683122</c:v>
                </c:pt>
                <c:pt idx="31">
                  <c:v>520458657.60896409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1-4B6D-8207-2291DA9D21CB}"/>
            </c:ext>
          </c:extLst>
        </c:ser>
        <c:ser>
          <c:idx val="1"/>
          <c:order val="1"/>
          <c:tx>
            <c:strRef>
              <c:f>'Total Energy'!$B$31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Energy'!$C$31:$AH$31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581576074.03999996</c:v>
                </c:pt>
                <c:pt idx="2">
                  <c:v>568852497.02999997</c:v>
                </c:pt>
                <c:pt idx="3">
                  <c:v>552869843.84000003</c:v>
                </c:pt>
                <c:pt idx="4">
                  <c:v>537901288.13999999</c:v>
                </c:pt>
                <c:pt idx="5">
                  <c:v>517183600.44</c:v>
                </c:pt>
                <c:pt idx="6">
                  <c:v>485260075.83999997</c:v>
                </c:pt>
                <c:pt idx="7">
                  <c:v>461167333.83999997</c:v>
                </c:pt>
                <c:pt idx="8">
                  <c:v>435711945.83999997</c:v>
                </c:pt>
                <c:pt idx="9">
                  <c:v>409809891.83999997</c:v>
                </c:pt>
                <c:pt idx="10">
                  <c:v>384973084.83999997</c:v>
                </c:pt>
                <c:pt idx="11">
                  <c:v>363516151.83999997</c:v>
                </c:pt>
                <c:pt idx="12">
                  <c:v>344915845.83999997</c:v>
                </c:pt>
                <c:pt idx="13">
                  <c:v>328662512.83999997</c:v>
                </c:pt>
                <c:pt idx="14">
                  <c:v>313644193.83999997</c:v>
                </c:pt>
                <c:pt idx="15">
                  <c:v>296863569.83999997</c:v>
                </c:pt>
                <c:pt idx="16">
                  <c:v>282627639.83999997</c:v>
                </c:pt>
                <c:pt idx="17">
                  <c:v>272337219.83999997</c:v>
                </c:pt>
                <c:pt idx="18">
                  <c:v>261941869.84</c:v>
                </c:pt>
                <c:pt idx="19">
                  <c:v>251902175.84</c:v>
                </c:pt>
                <c:pt idx="20">
                  <c:v>242574276.84</c:v>
                </c:pt>
                <c:pt idx="21">
                  <c:v>234070234.84</c:v>
                </c:pt>
                <c:pt idx="22">
                  <c:v>228185213.84</c:v>
                </c:pt>
                <c:pt idx="23">
                  <c:v>222735087.84</c:v>
                </c:pt>
                <c:pt idx="24">
                  <c:v>217860536.84</c:v>
                </c:pt>
                <c:pt idx="25">
                  <c:v>213617169.84</c:v>
                </c:pt>
                <c:pt idx="26">
                  <c:v>209981367.84</c:v>
                </c:pt>
                <c:pt idx="27">
                  <c:v>206937443.84</c:v>
                </c:pt>
                <c:pt idx="28">
                  <c:v>204424189.84</c:v>
                </c:pt>
                <c:pt idx="29">
                  <c:v>202372777.84</c:v>
                </c:pt>
                <c:pt idx="30">
                  <c:v>200688262.03999999</c:v>
                </c:pt>
                <c:pt idx="31">
                  <c:v>199239710.03999999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1-4B6D-8207-2291DA9D21CB}"/>
            </c:ext>
          </c:extLst>
        </c:ser>
        <c:ser>
          <c:idx val="2"/>
          <c:order val="2"/>
          <c:tx>
            <c:strRef>
              <c:f>'Total Energy'!$B$29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Energy'!$C$29:$AH$29</c:f>
              <c:numCache>
                <c:formatCode>General</c:formatCode>
                <c:ptCount val="32"/>
                <c:pt idx="0">
                  <c:v>424886232.45700002</c:v>
                </c:pt>
                <c:pt idx="1">
                  <c:v>424928230.16000003</c:v>
                </c:pt>
                <c:pt idx="2">
                  <c:v>424928229.66500002</c:v>
                </c:pt>
                <c:pt idx="3">
                  <c:v>430696172.09500003</c:v>
                </c:pt>
                <c:pt idx="4">
                  <c:v>435805151.76160002</c:v>
                </c:pt>
                <c:pt idx="5">
                  <c:v>442960214.26700002</c:v>
                </c:pt>
                <c:pt idx="6">
                  <c:v>446148234.222</c:v>
                </c:pt>
                <c:pt idx="7">
                  <c:v>448098108.33600003</c:v>
                </c:pt>
                <c:pt idx="8">
                  <c:v>449843483.28899997</c:v>
                </c:pt>
                <c:pt idx="9">
                  <c:v>451402600.68400002</c:v>
                </c:pt>
                <c:pt idx="10">
                  <c:v>452565753.96200001</c:v>
                </c:pt>
                <c:pt idx="11">
                  <c:v>452421011.76099998</c:v>
                </c:pt>
                <c:pt idx="12">
                  <c:v>455767498.90100002</c:v>
                </c:pt>
                <c:pt idx="13">
                  <c:v>458826458.69300002</c:v>
                </c:pt>
                <c:pt idx="14">
                  <c:v>461644327.96700001</c:v>
                </c:pt>
                <c:pt idx="15">
                  <c:v>464217343.64300001</c:v>
                </c:pt>
                <c:pt idx="16">
                  <c:v>466846292.14099997</c:v>
                </c:pt>
                <c:pt idx="17">
                  <c:v>465224038.75400001</c:v>
                </c:pt>
                <c:pt idx="18">
                  <c:v>463765205.009</c:v>
                </c:pt>
                <c:pt idx="19">
                  <c:v>462460477.43699998</c:v>
                </c:pt>
                <c:pt idx="20">
                  <c:v>461266524.57599998</c:v>
                </c:pt>
                <c:pt idx="21">
                  <c:v>460264077.52899998</c:v>
                </c:pt>
                <c:pt idx="22">
                  <c:v>459232066.08210838</c:v>
                </c:pt>
                <c:pt idx="23">
                  <c:v>458273806.45535809</c:v>
                </c:pt>
                <c:pt idx="24">
                  <c:v>457377957.24171352</c:v>
                </c:pt>
                <c:pt idx="25">
                  <c:v>456522329.52113539</c:v>
                </c:pt>
                <c:pt idx="26">
                  <c:v>454922449.00999868</c:v>
                </c:pt>
                <c:pt idx="27">
                  <c:v>453969155.69299239</c:v>
                </c:pt>
                <c:pt idx="28">
                  <c:v>453047365.37800032</c:v>
                </c:pt>
                <c:pt idx="29">
                  <c:v>452153287.77698779</c:v>
                </c:pt>
                <c:pt idx="30">
                  <c:v>451262625.1679222</c:v>
                </c:pt>
                <c:pt idx="31">
                  <c:v>450439372.56277227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1-4B6D-8207-2291DA9D21CB}"/>
            </c:ext>
          </c:extLst>
        </c:ser>
        <c:ser>
          <c:idx val="3"/>
          <c:order val="3"/>
          <c:tx>
            <c:strRef>
              <c:f>'Total Energy'!$B$30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Energy'!$C$30:$AH$30</c:f>
              <c:numCache>
                <c:formatCode>General</c:formatCode>
                <c:ptCount val="32"/>
                <c:pt idx="0">
                  <c:v>259975762.697</c:v>
                </c:pt>
                <c:pt idx="1">
                  <c:v>260122538.94600001</c:v>
                </c:pt>
                <c:pt idx="2">
                  <c:v>259206420.296</c:v>
                </c:pt>
                <c:pt idx="3">
                  <c:v>259120535.037</c:v>
                </c:pt>
                <c:pt idx="4">
                  <c:v>257612290.74000001</c:v>
                </c:pt>
                <c:pt idx="5">
                  <c:v>255716257.28</c:v>
                </c:pt>
                <c:pt idx="6">
                  <c:v>252686980.44999999</c:v>
                </c:pt>
                <c:pt idx="7">
                  <c:v>249039880.12</c:v>
                </c:pt>
                <c:pt idx="8">
                  <c:v>244926428.30000001</c:v>
                </c:pt>
                <c:pt idx="9">
                  <c:v>240351775.40000001</c:v>
                </c:pt>
                <c:pt idx="10">
                  <c:v>235345518.90000001</c:v>
                </c:pt>
                <c:pt idx="11">
                  <c:v>229125645.5</c:v>
                </c:pt>
                <c:pt idx="12">
                  <c:v>222474747.40000001</c:v>
                </c:pt>
                <c:pt idx="13">
                  <c:v>215448720</c:v>
                </c:pt>
                <c:pt idx="14">
                  <c:v>207943032.30000001</c:v>
                </c:pt>
                <c:pt idx="15">
                  <c:v>199938932.5</c:v>
                </c:pt>
                <c:pt idx="16">
                  <c:v>191720035.09999999</c:v>
                </c:pt>
                <c:pt idx="17">
                  <c:v>182908520.30000001</c:v>
                </c:pt>
                <c:pt idx="18">
                  <c:v>173726939.80000001</c:v>
                </c:pt>
                <c:pt idx="19">
                  <c:v>164263698.30000001</c:v>
                </c:pt>
                <c:pt idx="20">
                  <c:v>155034286.77000001</c:v>
                </c:pt>
                <c:pt idx="21">
                  <c:v>145872649.27900001</c:v>
                </c:pt>
                <c:pt idx="22">
                  <c:v>143483519.64073521</c:v>
                </c:pt>
                <c:pt idx="23">
                  <c:v>142503694.92359379</c:v>
                </c:pt>
                <c:pt idx="24">
                  <c:v>141622681.99207401</c:v>
                </c:pt>
                <c:pt idx="25">
                  <c:v>140808033.0748015</c:v>
                </c:pt>
                <c:pt idx="26">
                  <c:v>140010549.18248081</c:v>
                </c:pt>
                <c:pt idx="27">
                  <c:v>139141472.20102689</c:v>
                </c:pt>
                <c:pt idx="28">
                  <c:v>138284042.93464881</c:v>
                </c:pt>
                <c:pt idx="29">
                  <c:v>137420318.41583201</c:v>
                </c:pt>
                <c:pt idx="30">
                  <c:v>136672716.54682699</c:v>
                </c:pt>
                <c:pt idx="31">
                  <c:v>135955958.11561209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1-4B6D-8207-2291DA9D21CB}"/>
            </c:ext>
          </c:extLst>
        </c:ser>
        <c:ser>
          <c:idx val="4"/>
          <c:order val="4"/>
          <c:tx>
            <c:strRef>
              <c:f>'Total Energy'!$B$27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Energy'!$C$27:$AH$27</c:f>
              <c:numCache>
                <c:formatCode>General</c:formatCode>
                <c:ptCount val="32"/>
                <c:pt idx="0">
                  <c:v>205953267.586</c:v>
                </c:pt>
                <c:pt idx="1">
                  <c:v>205808532.014</c:v>
                </c:pt>
                <c:pt idx="2">
                  <c:v>207084220.95899999</c:v>
                </c:pt>
                <c:pt idx="3">
                  <c:v>208352342.46599999</c:v>
                </c:pt>
                <c:pt idx="4">
                  <c:v>209265450.20089999</c:v>
                </c:pt>
                <c:pt idx="5">
                  <c:v>204992609.801</c:v>
                </c:pt>
                <c:pt idx="6">
                  <c:v>203508482.109</c:v>
                </c:pt>
                <c:pt idx="7">
                  <c:v>198920845.31900001</c:v>
                </c:pt>
                <c:pt idx="8">
                  <c:v>194265897.088</c:v>
                </c:pt>
                <c:pt idx="9">
                  <c:v>189567659.93599999</c:v>
                </c:pt>
                <c:pt idx="10">
                  <c:v>182011442.51899999</c:v>
                </c:pt>
                <c:pt idx="11">
                  <c:v>176954415.69400001</c:v>
                </c:pt>
                <c:pt idx="12">
                  <c:v>169968076.23249999</c:v>
                </c:pt>
                <c:pt idx="13">
                  <c:v>162868011.6672</c:v>
                </c:pt>
                <c:pt idx="14">
                  <c:v>155608239.0332</c:v>
                </c:pt>
                <c:pt idx="15">
                  <c:v>147255377.44365001</c:v>
                </c:pt>
                <c:pt idx="16">
                  <c:v>141848845.89862999</c:v>
                </c:pt>
                <c:pt idx="17">
                  <c:v>135234724.91060999</c:v>
                </c:pt>
                <c:pt idx="18">
                  <c:v>128219062.08792999</c:v>
                </c:pt>
                <c:pt idx="19">
                  <c:v>120683350.72036999</c:v>
                </c:pt>
                <c:pt idx="20">
                  <c:v>111970259.94104999</c:v>
                </c:pt>
                <c:pt idx="21">
                  <c:v>104030171.44216999</c:v>
                </c:pt>
                <c:pt idx="22">
                  <c:v>102789931.0847265</c:v>
                </c:pt>
                <c:pt idx="23">
                  <c:v>101671203.8104091</c:v>
                </c:pt>
                <c:pt idx="24">
                  <c:v>100803700.93283211</c:v>
                </c:pt>
                <c:pt idx="25">
                  <c:v>99847705.924295068</c:v>
                </c:pt>
                <c:pt idx="26">
                  <c:v>100173753.68018959</c:v>
                </c:pt>
                <c:pt idx="27">
                  <c:v>100009675.0812573</c:v>
                </c:pt>
                <c:pt idx="28">
                  <c:v>99847195.707040831</c:v>
                </c:pt>
                <c:pt idx="29">
                  <c:v>99685379.237477183</c:v>
                </c:pt>
                <c:pt idx="30">
                  <c:v>98937198.041530237</c:v>
                </c:pt>
                <c:pt idx="31">
                  <c:v>99367934.795412228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C1-4B6D-8207-2291DA9D21CB}"/>
            </c:ext>
          </c:extLst>
        </c:ser>
        <c:ser>
          <c:idx val="5"/>
          <c:order val="5"/>
          <c:tx>
            <c:strRef>
              <c:f>'Total Energy'!$B$26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Energy'!$C$26:$AH$26</c:f>
              <c:numCache>
                <c:formatCode>General</c:formatCode>
                <c:ptCount val="32"/>
                <c:pt idx="0">
                  <c:v>8877019.4220000003</c:v>
                </c:pt>
                <c:pt idx="1">
                  <c:v>8877019.4220000003</c:v>
                </c:pt>
                <c:pt idx="2">
                  <c:v>8877019.4220000003</c:v>
                </c:pt>
                <c:pt idx="3">
                  <c:v>8877019.4220000003</c:v>
                </c:pt>
                <c:pt idx="4">
                  <c:v>8877019.5591599997</c:v>
                </c:pt>
                <c:pt idx="5">
                  <c:v>8877019.7970000003</c:v>
                </c:pt>
                <c:pt idx="6">
                  <c:v>8877018.9286000002</c:v>
                </c:pt>
                <c:pt idx="7">
                  <c:v>8877019.2150999997</c:v>
                </c:pt>
                <c:pt idx="8">
                  <c:v>8877019.3570000008</c:v>
                </c:pt>
                <c:pt idx="9">
                  <c:v>8877019.5140000004</c:v>
                </c:pt>
                <c:pt idx="10">
                  <c:v>8877019.8460000008</c:v>
                </c:pt>
                <c:pt idx="11">
                  <c:v>8877020.0390000008</c:v>
                </c:pt>
                <c:pt idx="12">
                  <c:v>8877019.2960000001</c:v>
                </c:pt>
                <c:pt idx="13">
                  <c:v>8877019.3809999991</c:v>
                </c:pt>
                <c:pt idx="14">
                  <c:v>8877019.5879999995</c:v>
                </c:pt>
                <c:pt idx="15">
                  <c:v>8877018.7990000006</c:v>
                </c:pt>
                <c:pt idx="16">
                  <c:v>8877020.4969999995</c:v>
                </c:pt>
                <c:pt idx="17">
                  <c:v>8877020.4250000007</c:v>
                </c:pt>
                <c:pt idx="18">
                  <c:v>8877020.4620000012</c:v>
                </c:pt>
                <c:pt idx="19">
                  <c:v>8877020.477</c:v>
                </c:pt>
                <c:pt idx="20">
                  <c:v>8877020.0120000001</c:v>
                </c:pt>
                <c:pt idx="21">
                  <c:v>8877020.5362</c:v>
                </c:pt>
                <c:pt idx="22">
                  <c:v>8877020.6609176919</c:v>
                </c:pt>
                <c:pt idx="23">
                  <c:v>8877020.6609176919</c:v>
                </c:pt>
                <c:pt idx="24">
                  <c:v>8877020.6609176919</c:v>
                </c:pt>
                <c:pt idx="25">
                  <c:v>8877020.6609176919</c:v>
                </c:pt>
                <c:pt idx="26">
                  <c:v>8877020.6609176919</c:v>
                </c:pt>
                <c:pt idx="27">
                  <c:v>8877020.6609176919</c:v>
                </c:pt>
                <c:pt idx="28">
                  <c:v>8877020.6609176919</c:v>
                </c:pt>
                <c:pt idx="29">
                  <c:v>8877020.6609176919</c:v>
                </c:pt>
                <c:pt idx="30">
                  <c:v>8877020.6609176919</c:v>
                </c:pt>
                <c:pt idx="31">
                  <c:v>8877020.6609176919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C1-4B6D-8207-2291DA9D2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30001"/>
        <c:axId val="50330002"/>
      </c:areaChart>
      <c:catAx>
        <c:axId val="503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30002"/>
        <c:crosses val="autoZero"/>
        <c:auto val="1"/>
        <c:lblAlgn val="ctr"/>
        <c:lblOffset val="100"/>
        <c:tickLblSkip val="2"/>
        <c:noMultiLvlLbl val="0"/>
      </c:catAx>
      <c:valAx>
        <c:axId val="503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3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Energy'!$B$28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Energy'!$C$28,'Total Energy'!$AH$28)</c:f>
              <c:numCache>
                <c:formatCode>General</c:formatCode>
                <c:ptCount val="2"/>
                <c:pt idx="0">
                  <c:v>701026638.59179997</c:v>
                </c:pt>
                <c:pt idx="1">
                  <c:v>520458657.60896409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0-4F10-8080-7FF5CE85370B}"/>
            </c:ext>
          </c:extLst>
        </c:ser>
        <c:ser>
          <c:idx val="1"/>
          <c:order val="1"/>
          <c:tx>
            <c:strRef>
              <c:f>'Total Energy'!$B$31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Energy'!$C$31,'Total Energy'!$AH$31)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199239710.03999999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50-4F10-8080-7FF5CE85370B}"/>
            </c:ext>
          </c:extLst>
        </c:ser>
        <c:ser>
          <c:idx val="2"/>
          <c:order val="2"/>
          <c:tx>
            <c:strRef>
              <c:f>'Total Energy'!$B$29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Energy'!$C$29,'Total Energy'!$AH$29)</c:f>
              <c:numCache>
                <c:formatCode>General</c:formatCode>
                <c:ptCount val="2"/>
                <c:pt idx="0">
                  <c:v>424886232.45700002</c:v>
                </c:pt>
                <c:pt idx="1">
                  <c:v>450439372.56277227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50-4F10-8080-7FF5CE85370B}"/>
            </c:ext>
          </c:extLst>
        </c:ser>
        <c:ser>
          <c:idx val="3"/>
          <c:order val="3"/>
          <c:tx>
            <c:strRef>
              <c:f>'Total Energy'!$B$30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Energy'!$C$30,'Total Energy'!$AH$30)</c:f>
              <c:numCache>
                <c:formatCode>General</c:formatCode>
                <c:ptCount val="2"/>
                <c:pt idx="0">
                  <c:v>259975762.697</c:v>
                </c:pt>
                <c:pt idx="1">
                  <c:v>135955958.11561209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50-4F10-8080-7FF5CE85370B}"/>
            </c:ext>
          </c:extLst>
        </c:ser>
        <c:ser>
          <c:idx val="4"/>
          <c:order val="4"/>
          <c:tx>
            <c:strRef>
              <c:f>'Total Energy'!$B$27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Energy'!$C$27,'Total Energy'!$AH$27)</c:f>
              <c:numCache>
                <c:formatCode>General</c:formatCode>
                <c:ptCount val="2"/>
                <c:pt idx="0">
                  <c:v>205953267.586</c:v>
                </c:pt>
                <c:pt idx="1">
                  <c:v>99367934.795412228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50-4F10-8080-7FF5CE85370B}"/>
            </c:ext>
          </c:extLst>
        </c:ser>
        <c:ser>
          <c:idx val="5"/>
          <c:order val="5"/>
          <c:tx>
            <c:strRef>
              <c:f>'Total Energy'!$B$26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Energy'!$C$26,'Total Energy'!$AH$26)</c:f>
              <c:numCache>
                <c:formatCode>General</c:formatCode>
                <c:ptCount val="2"/>
                <c:pt idx="0">
                  <c:v>8877019.4220000003</c:v>
                </c:pt>
                <c:pt idx="1">
                  <c:v>8877020.6609176919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50-4F10-8080-7FF5CE85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340001"/>
        <c:axId val="50340002"/>
      </c:barChart>
      <c:catAx>
        <c:axId val="503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40002"/>
        <c:crosses val="autoZero"/>
        <c:auto val="1"/>
        <c:lblAlgn val="ctr"/>
        <c:lblOffset val="100"/>
        <c:noMultiLvlLbl val="0"/>
      </c:catAx>
      <c:valAx>
        <c:axId val="503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4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Energy'!$B$35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Energy'!$C$35:$AH$35</c:f>
              <c:numCache>
                <c:formatCode>General</c:formatCode>
                <c:ptCount val="32"/>
                <c:pt idx="0">
                  <c:v>701026638.59179997</c:v>
                </c:pt>
                <c:pt idx="1">
                  <c:v>699700685.90180004</c:v>
                </c:pt>
                <c:pt idx="2">
                  <c:v>699700695.90180004</c:v>
                </c:pt>
                <c:pt idx="3">
                  <c:v>699700685.80180001</c:v>
                </c:pt>
                <c:pt idx="4">
                  <c:v>699700695.90180004</c:v>
                </c:pt>
                <c:pt idx="5">
                  <c:v>699700695.90180004</c:v>
                </c:pt>
                <c:pt idx="6">
                  <c:v>654268985.02180004</c:v>
                </c:pt>
                <c:pt idx="7">
                  <c:v>654268985.02180004</c:v>
                </c:pt>
                <c:pt idx="8">
                  <c:v>654268985.02180004</c:v>
                </c:pt>
                <c:pt idx="9">
                  <c:v>654268985.13179994</c:v>
                </c:pt>
                <c:pt idx="10">
                  <c:v>654268985.02180004</c:v>
                </c:pt>
                <c:pt idx="11">
                  <c:v>572901694.21179998</c:v>
                </c:pt>
                <c:pt idx="12">
                  <c:v>572901684.21179998</c:v>
                </c:pt>
                <c:pt idx="13">
                  <c:v>572901684.21179998</c:v>
                </c:pt>
                <c:pt idx="14">
                  <c:v>572901684.21179998</c:v>
                </c:pt>
                <c:pt idx="15">
                  <c:v>572901684.21179998</c:v>
                </c:pt>
                <c:pt idx="16">
                  <c:v>572901684.21179998</c:v>
                </c:pt>
                <c:pt idx="17">
                  <c:v>572901684.21179998</c:v>
                </c:pt>
                <c:pt idx="18">
                  <c:v>572901684.21079993</c:v>
                </c:pt>
                <c:pt idx="19">
                  <c:v>572901694.21179998</c:v>
                </c:pt>
                <c:pt idx="20">
                  <c:v>572901684.21179998</c:v>
                </c:pt>
                <c:pt idx="21">
                  <c:v>572901684.21179998</c:v>
                </c:pt>
                <c:pt idx="22">
                  <c:v>572901694.21179998</c:v>
                </c:pt>
                <c:pt idx="23">
                  <c:v>572901694.21179998</c:v>
                </c:pt>
                <c:pt idx="24">
                  <c:v>572901694.21179998</c:v>
                </c:pt>
                <c:pt idx="25">
                  <c:v>572901684.21079993</c:v>
                </c:pt>
                <c:pt idx="26">
                  <c:v>553104509.91180003</c:v>
                </c:pt>
                <c:pt idx="27">
                  <c:v>553104510.91180003</c:v>
                </c:pt>
                <c:pt idx="28">
                  <c:v>553104509.91180003</c:v>
                </c:pt>
                <c:pt idx="29">
                  <c:v>553104511.01180005</c:v>
                </c:pt>
                <c:pt idx="30">
                  <c:v>553104509.91180003</c:v>
                </c:pt>
                <c:pt idx="31">
                  <c:v>553104509.91180003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4-4BCF-8501-CF6FCC64EB91}"/>
            </c:ext>
          </c:extLst>
        </c:ser>
        <c:ser>
          <c:idx val="1"/>
          <c:order val="1"/>
          <c:tx>
            <c:strRef>
              <c:f>'Total Energy'!$B$38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Energy'!$C$38:$AH$38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581199655.44000006</c:v>
                </c:pt>
                <c:pt idx="2">
                  <c:v>578731560.07300007</c:v>
                </c:pt>
                <c:pt idx="3">
                  <c:v>572683278.39600003</c:v>
                </c:pt>
                <c:pt idx="4">
                  <c:v>567630250.31799996</c:v>
                </c:pt>
                <c:pt idx="5">
                  <c:v>557303235.352</c:v>
                </c:pt>
                <c:pt idx="6">
                  <c:v>534057144.38</c:v>
                </c:pt>
                <c:pt idx="7">
                  <c:v>518615508.41000003</c:v>
                </c:pt>
                <c:pt idx="8">
                  <c:v>500854726.32999998</c:v>
                </c:pt>
                <c:pt idx="9">
                  <c:v>481734172.36000001</c:v>
                </c:pt>
                <c:pt idx="10">
                  <c:v>463012681.39999998</c:v>
                </c:pt>
                <c:pt idx="11">
                  <c:v>447582770.31999999</c:v>
                </c:pt>
                <c:pt idx="12">
                  <c:v>435016186.33999997</c:v>
                </c:pt>
                <c:pt idx="13">
                  <c:v>424876547.37</c:v>
                </c:pt>
                <c:pt idx="14">
                  <c:v>415869404.41000003</c:v>
                </c:pt>
                <c:pt idx="15">
                  <c:v>404114909.32999998</c:v>
                </c:pt>
                <c:pt idx="16">
                  <c:v>395269222.35000002</c:v>
                </c:pt>
                <c:pt idx="17">
                  <c:v>385284649.38999999</c:v>
                </c:pt>
                <c:pt idx="18">
                  <c:v>374856527.31999999</c:v>
                </c:pt>
                <c:pt idx="19">
                  <c:v>364612629.33999997</c:v>
                </c:pt>
                <c:pt idx="20">
                  <c:v>355071532.33999997</c:v>
                </c:pt>
                <c:pt idx="21">
                  <c:v>346436958.33999997</c:v>
                </c:pt>
                <c:pt idx="22">
                  <c:v>337984548.33999997</c:v>
                </c:pt>
                <c:pt idx="23">
                  <c:v>330147068.33999997</c:v>
                </c:pt>
                <c:pt idx="24">
                  <c:v>323138638.33999997</c:v>
                </c:pt>
                <c:pt idx="25">
                  <c:v>317046638.33999997</c:v>
                </c:pt>
                <c:pt idx="26">
                  <c:v>311839818.33999997</c:v>
                </c:pt>
                <c:pt idx="27">
                  <c:v>307500488.33999997</c:v>
                </c:pt>
                <c:pt idx="28">
                  <c:v>303935628.33999997</c:v>
                </c:pt>
                <c:pt idx="29">
                  <c:v>301043418.33999997</c:v>
                </c:pt>
                <c:pt idx="30">
                  <c:v>298683908.33999997</c:v>
                </c:pt>
                <c:pt idx="31">
                  <c:v>296662438.33999997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4-4BCF-8501-CF6FCC64EB91}"/>
            </c:ext>
          </c:extLst>
        </c:ser>
        <c:ser>
          <c:idx val="2"/>
          <c:order val="2"/>
          <c:tx>
            <c:strRef>
              <c:f>'Total Energy'!$B$36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Energy'!$C$36:$AH$36</c:f>
              <c:numCache>
                <c:formatCode>General</c:formatCode>
                <c:ptCount val="32"/>
                <c:pt idx="0">
                  <c:v>424886232.45700002</c:v>
                </c:pt>
                <c:pt idx="1">
                  <c:v>424928230.16000003</c:v>
                </c:pt>
                <c:pt idx="2">
                  <c:v>424928237.57099998</c:v>
                </c:pt>
                <c:pt idx="3">
                  <c:v>424928231.26200002</c:v>
                </c:pt>
                <c:pt idx="4">
                  <c:v>424928225.838</c:v>
                </c:pt>
                <c:pt idx="5">
                  <c:v>424928225.59100002</c:v>
                </c:pt>
                <c:pt idx="6">
                  <c:v>426229552.01300001</c:v>
                </c:pt>
                <c:pt idx="7">
                  <c:v>426410326.87599999</c:v>
                </c:pt>
                <c:pt idx="8">
                  <c:v>426591106.29400003</c:v>
                </c:pt>
                <c:pt idx="9">
                  <c:v>426771892.375</c:v>
                </c:pt>
                <c:pt idx="10">
                  <c:v>426952675.50999999</c:v>
                </c:pt>
                <c:pt idx="11">
                  <c:v>426053775.53399998</c:v>
                </c:pt>
                <c:pt idx="12">
                  <c:v>426475621.36799997</c:v>
                </c:pt>
                <c:pt idx="13">
                  <c:v>426897435.54500002</c:v>
                </c:pt>
                <c:pt idx="14">
                  <c:v>427319279.458</c:v>
                </c:pt>
                <c:pt idx="15">
                  <c:v>427741101.20999998</c:v>
                </c:pt>
                <c:pt idx="16">
                  <c:v>428162952.93300003</c:v>
                </c:pt>
                <c:pt idx="17">
                  <c:v>428840864.875</c:v>
                </c:pt>
                <c:pt idx="18">
                  <c:v>429518814.34600002</c:v>
                </c:pt>
                <c:pt idx="19">
                  <c:v>430196750.35299999</c:v>
                </c:pt>
                <c:pt idx="20">
                  <c:v>430874705.31699997</c:v>
                </c:pt>
                <c:pt idx="21">
                  <c:v>431552637.46399999</c:v>
                </c:pt>
                <c:pt idx="22">
                  <c:v>431921736.26300001</c:v>
                </c:pt>
                <c:pt idx="23">
                  <c:v>432290839.81900001</c:v>
                </c:pt>
                <c:pt idx="24">
                  <c:v>432659947.35500002</c:v>
                </c:pt>
                <c:pt idx="25">
                  <c:v>433029051.49299997</c:v>
                </c:pt>
                <c:pt idx="26">
                  <c:v>432596351.352</c:v>
                </c:pt>
                <c:pt idx="27">
                  <c:v>432739466.917</c:v>
                </c:pt>
                <c:pt idx="28">
                  <c:v>432882588.421</c:v>
                </c:pt>
                <c:pt idx="29">
                  <c:v>433025713.18300003</c:v>
                </c:pt>
                <c:pt idx="30">
                  <c:v>433168847.85000002</c:v>
                </c:pt>
                <c:pt idx="31">
                  <c:v>433311961.34799999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4-4BCF-8501-CF6FCC64EB91}"/>
            </c:ext>
          </c:extLst>
        </c:ser>
        <c:ser>
          <c:idx val="3"/>
          <c:order val="3"/>
          <c:tx>
            <c:strRef>
              <c:f>'Total Energy'!$B$37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Energy'!$C$37:$AH$37</c:f>
              <c:numCache>
                <c:formatCode>General</c:formatCode>
                <c:ptCount val="32"/>
                <c:pt idx="0">
                  <c:v>259975762.697</c:v>
                </c:pt>
                <c:pt idx="1">
                  <c:v>260122538.94600001</c:v>
                </c:pt>
                <c:pt idx="2">
                  <c:v>259735120.80899999</c:v>
                </c:pt>
                <c:pt idx="3">
                  <c:v>260253014.05000001</c:v>
                </c:pt>
                <c:pt idx="4">
                  <c:v>260983259.13100001</c:v>
                </c:pt>
                <c:pt idx="5">
                  <c:v>261747167.83899999</c:v>
                </c:pt>
                <c:pt idx="6">
                  <c:v>261624399.10299999</c:v>
                </c:pt>
                <c:pt idx="7">
                  <c:v>261324520.96200001</c:v>
                </c:pt>
                <c:pt idx="8">
                  <c:v>260998593.81099999</c:v>
                </c:pt>
                <c:pt idx="9">
                  <c:v>260712691.99599999</c:v>
                </c:pt>
                <c:pt idx="10">
                  <c:v>260526970.065</c:v>
                </c:pt>
                <c:pt idx="11">
                  <c:v>259600763.19600001</c:v>
                </c:pt>
                <c:pt idx="12">
                  <c:v>258732328.73500001</c:v>
                </c:pt>
                <c:pt idx="13">
                  <c:v>257921658.45500001</c:v>
                </c:pt>
                <c:pt idx="14">
                  <c:v>257072092.46799999</c:v>
                </c:pt>
                <c:pt idx="15">
                  <c:v>256086159.79699999</c:v>
                </c:pt>
                <c:pt idx="16">
                  <c:v>255029999.63999999</c:v>
                </c:pt>
                <c:pt idx="17">
                  <c:v>253679324.59799999</c:v>
                </c:pt>
                <c:pt idx="18">
                  <c:v>252169239.35499999</c:v>
                </c:pt>
                <c:pt idx="19">
                  <c:v>250527898.38999999</c:v>
                </c:pt>
                <c:pt idx="20">
                  <c:v>248789089.66</c:v>
                </c:pt>
                <c:pt idx="21">
                  <c:v>247063584.34200001</c:v>
                </c:pt>
                <c:pt idx="22">
                  <c:v>245225320.037</c:v>
                </c:pt>
                <c:pt idx="23">
                  <c:v>243384338.71599999</c:v>
                </c:pt>
                <c:pt idx="24">
                  <c:v>241553122.61700001</c:v>
                </c:pt>
                <c:pt idx="25">
                  <c:v>239733192.91600001</c:v>
                </c:pt>
                <c:pt idx="26">
                  <c:v>237971766.71399999</c:v>
                </c:pt>
                <c:pt idx="27">
                  <c:v>236173245.22600001</c:v>
                </c:pt>
                <c:pt idx="28">
                  <c:v>234390538.683</c:v>
                </c:pt>
                <c:pt idx="29">
                  <c:v>232620837.29499999</c:v>
                </c:pt>
                <c:pt idx="30">
                  <c:v>230859689.65700001</c:v>
                </c:pt>
                <c:pt idx="31">
                  <c:v>229133443.773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4-4BCF-8501-CF6FCC64EB91}"/>
            </c:ext>
          </c:extLst>
        </c:ser>
        <c:ser>
          <c:idx val="4"/>
          <c:order val="4"/>
          <c:tx>
            <c:strRef>
              <c:f>'Total Energy'!$B$34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Energy'!$C$34:$AH$34</c:f>
              <c:numCache>
                <c:formatCode>General</c:formatCode>
                <c:ptCount val="32"/>
                <c:pt idx="0">
                  <c:v>205953267.586</c:v>
                </c:pt>
                <c:pt idx="1">
                  <c:v>205808531.914</c:v>
                </c:pt>
                <c:pt idx="2">
                  <c:v>207084244.76899999</c:v>
                </c:pt>
                <c:pt idx="3">
                  <c:v>208352337.44600001</c:v>
                </c:pt>
                <c:pt idx="4">
                  <c:v>209577963.241</c:v>
                </c:pt>
                <c:pt idx="5">
                  <c:v>206547083.324</c:v>
                </c:pt>
                <c:pt idx="6">
                  <c:v>206491222.68700001</c:v>
                </c:pt>
                <c:pt idx="7">
                  <c:v>203487285.669</c:v>
                </c:pt>
                <c:pt idx="8">
                  <c:v>200641176.72400001</c:v>
                </c:pt>
                <c:pt idx="9">
                  <c:v>197930643.29899999</c:v>
                </c:pt>
                <c:pt idx="10">
                  <c:v>193827807.63600001</c:v>
                </c:pt>
                <c:pt idx="11">
                  <c:v>192701338.16299999</c:v>
                </c:pt>
                <c:pt idx="12">
                  <c:v>189735879.79080001</c:v>
                </c:pt>
                <c:pt idx="13">
                  <c:v>186828939.94620001</c:v>
                </c:pt>
                <c:pt idx="14">
                  <c:v>183979572.3193</c:v>
                </c:pt>
                <c:pt idx="15">
                  <c:v>179979621.74570999</c:v>
                </c:pt>
                <c:pt idx="16">
                  <c:v>179820136.25759</c:v>
                </c:pt>
                <c:pt idx="17">
                  <c:v>178374750.78156</c:v>
                </c:pt>
                <c:pt idx="18">
                  <c:v>176860520.34920001</c:v>
                </c:pt>
                <c:pt idx="19">
                  <c:v>175186424.24876001</c:v>
                </c:pt>
                <c:pt idx="20">
                  <c:v>172146497.37108001</c:v>
                </c:pt>
                <c:pt idx="21">
                  <c:v>171570955.08520001</c:v>
                </c:pt>
                <c:pt idx="22">
                  <c:v>169856182.46413001</c:v>
                </c:pt>
                <c:pt idx="23">
                  <c:v>168146773.22229999</c:v>
                </c:pt>
                <c:pt idx="24">
                  <c:v>166443854.62037</c:v>
                </c:pt>
                <c:pt idx="25">
                  <c:v>163408430.47529</c:v>
                </c:pt>
                <c:pt idx="26">
                  <c:v>163046685.7182</c:v>
                </c:pt>
                <c:pt idx="27">
                  <c:v>161404667.30882001</c:v>
                </c:pt>
                <c:pt idx="28">
                  <c:v>159769094.53591999</c:v>
                </c:pt>
                <c:pt idx="29">
                  <c:v>158139963.02451</c:v>
                </c:pt>
                <c:pt idx="30">
                  <c:v>155162522.05676001</c:v>
                </c:pt>
                <c:pt idx="31">
                  <c:v>154906400.08418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84-4BCF-8501-CF6FCC64EB91}"/>
            </c:ext>
          </c:extLst>
        </c:ser>
        <c:ser>
          <c:idx val="5"/>
          <c:order val="5"/>
          <c:tx>
            <c:strRef>
              <c:f>'Total Energy'!$B$33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Energy'!$C$33:$AH$33</c:f>
              <c:numCache>
                <c:formatCode>General</c:formatCode>
                <c:ptCount val="32"/>
                <c:pt idx="0">
                  <c:v>8877019.4220000003</c:v>
                </c:pt>
                <c:pt idx="1">
                  <c:v>8877019.4220000003</c:v>
                </c:pt>
                <c:pt idx="2">
                  <c:v>8877019.4220000003</c:v>
                </c:pt>
                <c:pt idx="3">
                  <c:v>8877019.4220000003</c:v>
                </c:pt>
                <c:pt idx="4">
                  <c:v>8877019.4220000003</c:v>
                </c:pt>
                <c:pt idx="5">
                  <c:v>8877019.4220000003</c:v>
                </c:pt>
                <c:pt idx="6">
                  <c:v>8877019.4220000003</c:v>
                </c:pt>
                <c:pt idx="7">
                  <c:v>8877019.4220000003</c:v>
                </c:pt>
                <c:pt idx="8">
                  <c:v>8877019.4220000003</c:v>
                </c:pt>
                <c:pt idx="9">
                  <c:v>8877019.4220000003</c:v>
                </c:pt>
                <c:pt idx="10">
                  <c:v>8877019.4220000003</c:v>
                </c:pt>
                <c:pt idx="11">
                  <c:v>8877019.4220000003</c:v>
                </c:pt>
                <c:pt idx="12">
                  <c:v>8877019.4220000003</c:v>
                </c:pt>
                <c:pt idx="13">
                  <c:v>8877019.4220000003</c:v>
                </c:pt>
                <c:pt idx="14">
                  <c:v>8877019.4220000003</c:v>
                </c:pt>
                <c:pt idx="15">
                  <c:v>8877019.4220000003</c:v>
                </c:pt>
                <c:pt idx="16">
                  <c:v>8877019.4220000003</c:v>
                </c:pt>
                <c:pt idx="17">
                  <c:v>8877019.4220000003</c:v>
                </c:pt>
                <c:pt idx="18">
                  <c:v>8877019.4220000003</c:v>
                </c:pt>
                <c:pt idx="19">
                  <c:v>8877019.4220000003</c:v>
                </c:pt>
                <c:pt idx="20">
                  <c:v>8877019.4220000003</c:v>
                </c:pt>
                <c:pt idx="21">
                  <c:v>8877019.4220000003</c:v>
                </c:pt>
                <c:pt idx="22">
                  <c:v>8877019.4220000003</c:v>
                </c:pt>
                <c:pt idx="23">
                  <c:v>8877019.4220000003</c:v>
                </c:pt>
                <c:pt idx="24">
                  <c:v>8877019.4220000003</c:v>
                </c:pt>
                <c:pt idx="25">
                  <c:v>8877019.4220000003</c:v>
                </c:pt>
                <c:pt idx="26">
                  <c:v>8877019.4220000003</c:v>
                </c:pt>
                <c:pt idx="27">
                  <c:v>8877019.4220000003</c:v>
                </c:pt>
                <c:pt idx="28">
                  <c:v>8877019.4220000003</c:v>
                </c:pt>
                <c:pt idx="29">
                  <c:v>8877019.4220000003</c:v>
                </c:pt>
                <c:pt idx="30">
                  <c:v>8877019.4220000003</c:v>
                </c:pt>
                <c:pt idx="31">
                  <c:v>8877019.4220000003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84-4BCF-8501-CF6FCC64E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50001"/>
        <c:axId val="50350002"/>
      </c:areaChart>
      <c:catAx>
        <c:axId val="503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50002"/>
        <c:crosses val="autoZero"/>
        <c:auto val="1"/>
        <c:lblAlgn val="ctr"/>
        <c:lblOffset val="100"/>
        <c:tickLblSkip val="2"/>
        <c:noMultiLvlLbl val="0"/>
      </c:catAx>
      <c:valAx>
        <c:axId val="503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5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Energy'!$B$35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Energy'!$C$35,'Total Energy'!$AH$35)</c:f>
              <c:numCache>
                <c:formatCode>General</c:formatCode>
                <c:ptCount val="2"/>
                <c:pt idx="0">
                  <c:v>701026638.59179997</c:v>
                </c:pt>
                <c:pt idx="1">
                  <c:v>553104509.91180003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B-4DCC-B418-31CC7685B2C3}"/>
            </c:ext>
          </c:extLst>
        </c:ser>
        <c:ser>
          <c:idx val="1"/>
          <c:order val="1"/>
          <c:tx>
            <c:strRef>
              <c:f>'Total Energy'!$B$38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Energy'!$C$38,'Total Energy'!$AH$38)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296662438.33999997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B-4DCC-B418-31CC7685B2C3}"/>
            </c:ext>
          </c:extLst>
        </c:ser>
        <c:ser>
          <c:idx val="2"/>
          <c:order val="2"/>
          <c:tx>
            <c:strRef>
              <c:f>'Total Energy'!$B$36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Energy'!$C$36,'Total Energy'!$AH$36)</c:f>
              <c:numCache>
                <c:formatCode>General</c:formatCode>
                <c:ptCount val="2"/>
                <c:pt idx="0">
                  <c:v>424886232.45700002</c:v>
                </c:pt>
                <c:pt idx="1">
                  <c:v>433311961.34799999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BB-4DCC-B418-31CC7685B2C3}"/>
            </c:ext>
          </c:extLst>
        </c:ser>
        <c:ser>
          <c:idx val="3"/>
          <c:order val="3"/>
          <c:tx>
            <c:strRef>
              <c:f>'Total Energy'!$B$37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Energy'!$C$37,'Total Energy'!$AH$37)</c:f>
              <c:numCache>
                <c:formatCode>General</c:formatCode>
                <c:ptCount val="2"/>
                <c:pt idx="0">
                  <c:v>259975762.697</c:v>
                </c:pt>
                <c:pt idx="1">
                  <c:v>229133443.773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BB-4DCC-B418-31CC7685B2C3}"/>
            </c:ext>
          </c:extLst>
        </c:ser>
        <c:ser>
          <c:idx val="4"/>
          <c:order val="4"/>
          <c:tx>
            <c:strRef>
              <c:f>'Total Energy'!$B$34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Energy'!$C$34,'Total Energy'!$AH$34)</c:f>
              <c:numCache>
                <c:formatCode>General</c:formatCode>
                <c:ptCount val="2"/>
                <c:pt idx="0">
                  <c:v>205953267.586</c:v>
                </c:pt>
                <c:pt idx="1">
                  <c:v>154906400.08418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BB-4DCC-B418-31CC7685B2C3}"/>
            </c:ext>
          </c:extLst>
        </c:ser>
        <c:ser>
          <c:idx val="5"/>
          <c:order val="5"/>
          <c:tx>
            <c:strRef>
              <c:f>'Total Energy'!$B$33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Energy'!$C$33,'Total Energy'!$AH$33)</c:f>
              <c:numCache>
                <c:formatCode>General</c:formatCode>
                <c:ptCount val="2"/>
                <c:pt idx="0">
                  <c:v>8877019.4220000003</c:v>
                </c:pt>
                <c:pt idx="1">
                  <c:v>8877019.4220000003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BB-4DCC-B418-31CC7685B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360001"/>
        <c:axId val="50360002"/>
      </c:barChart>
      <c:catAx>
        <c:axId val="503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60002"/>
        <c:crosses val="autoZero"/>
        <c:auto val="1"/>
        <c:lblAlgn val="ctr"/>
        <c:lblOffset val="100"/>
        <c:noMultiLvlLbl val="0"/>
      </c:catAx>
      <c:valAx>
        <c:axId val="503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6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Energy'!$B$42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Energy'!$C$42:$AH$42</c:f>
              <c:numCache>
                <c:formatCode>General</c:formatCode>
                <c:ptCount val="32"/>
                <c:pt idx="0">
                  <c:v>701026638.59179997</c:v>
                </c:pt>
                <c:pt idx="1">
                  <c:v>701026628.59179997</c:v>
                </c:pt>
                <c:pt idx="2">
                  <c:v>701026638.6918</c:v>
                </c:pt>
                <c:pt idx="3">
                  <c:v>701026638.59179997</c:v>
                </c:pt>
                <c:pt idx="4">
                  <c:v>701026638.59179997</c:v>
                </c:pt>
                <c:pt idx="5">
                  <c:v>701026638.59179997</c:v>
                </c:pt>
                <c:pt idx="6">
                  <c:v>701026628.59179997</c:v>
                </c:pt>
                <c:pt idx="7">
                  <c:v>701026638.6918</c:v>
                </c:pt>
                <c:pt idx="8">
                  <c:v>701026628.59179997</c:v>
                </c:pt>
                <c:pt idx="9">
                  <c:v>701026638.59179997</c:v>
                </c:pt>
                <c:pt idx="10">
                  <c:v>701026628.58179998</c:v>
                </c:pt>
                <c:pt idx="11">
                  <c:v>701026638.6918</c:v>
                </c:pt>
                <c:pt idx="12">
                  <c:v>701026638.59179997</c:v>
                </c:pt>
                <c:pt idx="13">
                  <c:v>701026638.59179997</c:v>
                </c:pt>
                <c:pt idx="14">
                  <c:v>701026638.6918</c:v>
                </c:pt>
                <c:pt idx="15">
                  <c:v>701026638.59179997</c:v>
                </c:pt>
                <c:pt idx="16">
                  <c:v>701026628.58179998</c:v>
                </c:pt>
                <c:pt idx="17">
                  <c:v>701026638.59179997</c:v>
                </c:pt>
                <c:pt idx="18">
                  <c:v>701026638.59179997</c:v>
                </c:pt>
                <c:pt idx="19">
                  <c:v>701026628.59179997</c:v>
                </c:pt>
                <c:pt idx="20">
                  <c:v>701026638.59179997</c:v>
                </c:pt>
                <c:pt idx="21">
                  <c:v>701026638.6918</c:v>
                </c:pt>
                <c:pt idx="22">
                  <c:v>701026628.59179997</c:v>
                </c:pt>
                <c:pt idx="23">
                  <c:v>701026638.6918</c:v>
                </c:pt>
                <c:pt idx="24">
                  <c:v>701026638.59179997</c:v>
                </c:pt>
                <c:pt idx="25">
                  <c:v>701026638.6918</c:v>
                </c:pt>
                <c:pt idx="26">
                  <c:v>701026638.59179997</c:v>
                </c:pt>
                <c:pt idx="27">
                  <c:v>701026638.6918</c:v>
                </c:pt>
                <c:pt idx="28">
                  <c:v>701026638.6918</c:v>
                </c:pt>
                <c:pt idx="29">
                  <c:v>701026648.6918</c:v>
                </c:pt>
                <c:pt idx="30">
                  <c:v>701026638.6918</c:v>
                </c:pt>
                <c:pt idx="31">
                  <c:v>701026638.6918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A-4506-9A65-F9C370628AE5}"/>
            </c:ext>
          </c:extLst>
        </c:ser>
        <c:ser>
          <c:idx val="1"/>
          <c:order val="1"/>
          <c:tx>
            <c:strRef>
              <c:f>'Total Energy'!$B$45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Energy'!$C$45:$AH$45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582766960.03999996</c:v>
                </c:pt>
                <c:pt idx="2">
                  <c:v>582948591.34000003</c:v>
                </c:pt>
                <c:pt idx="3">
                  <c:v>579537050.34000003</c:v>
                </c:pt>
                <c:pt idx="4">
                  <c:v>577223367.34000003</c:v>
                </c:pt>
                <c:pt idx="5">
                  <c:v>571302352.34000003</c:v>
                </c:pt>
                <c:pt idx="6">
                  <c:v>552912874.34000003</c:v>
                </c:pt>
                <c:pt idx="7">
                  <c:v>542716151.34000003</c:v>
                </c:pt>
                <c:pt idx="8">
                  <c:v>531525035.33999997</c:v>
                </c:pt>
                <c:pt idx="9">
                  <c:v>520395565.33999997</c:v>
                </c:pt>
                <c:pt idx="10">
                  <c:v>510628265.33999997</c:v>
                </c:pt>
                <c:pt idx="11">
                  <c:v>504801527.33999997</c:v>
                </c:pt>
                <c:pt idx="12">
                  <c:v>501495698.33999997</c:v>
                </c:pt>
                <c:pt idx="13">
                  <c:v>500517662.33999997</c:v>
                </c:pt>
                <c:pt idx="14">
                  <c:v>500689958.33999997</c:v>
                </c:pt>
                <c:pt idx="15">
                  <c:v>499049384.33999997</c:v>
                </c:pt>
                <c:pt idx="16">
                  <c:v>499921446.33999997</c:v>
                </c:pt>
                <c:pt idx="17">
                  <c:v>500140573.33999997</c:v>
                </c:pt>
                <c:pt idx="18">
                  <c:v>500330623.33999997</c:v>
                </c:pt>
                <c:pt idx="19">
                  <c:v>500714937.33999997</c:v>
                </c:pt>
                <c:pt idx="20">
                  <c:v>501572197.33999997</c:v>
                </c:pt>
                <c:pt idx="21">
                  <c:v>502846766.33999997</c:v>
                </c:pt>
                <c:pt idx="22">
                  <c:v>503835522.33999997</c:v>
                </c:pt>
                <c:pt idx="23">
                  <c:v>504690820.33999997</c:v>
                </c:pt>
                <c:pt idx="24">
                  <c:v>505475292.33999997</c:v>
                </c:pt>
                <c:pt idx="25">
                  <c:v>506330309.33999997</c:v>
                </c:pt>
                <c:pt idx="26">
                  <c:v>507360797.33999997</c:v>
                </c:pt>
                <c:pt idx="27">
                  <c:v>508666375.33999997</c:v>
                </c:pt>
                <c:pt idx="28">
                  <c:v>510301145.33999997</c:v>
                </c:pt>
                <c:pt idx="29">
                  <c:v>512282921.33999997</c:v>
                </c:pt>
                <c:pt idx="30">
                  <c:v>514574729.33999997</c:v>
                </c:pt>
                <c:pt idx="31">
                  <c:v>517016785.33999997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A-4506-9A65-F9C370628AE5}"/>
            </c:ext>
          </c:extLst>
        </c:ser>
        <c:ser>
          <c:idx val="2"/>
          <c:order val="2"/>
          <c:tx>
            <c:strRef>
              <c:f>'Total Energy'!$B$43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Energy'!$C$43:$AH$43</c:f>
              <c:numCache>
                <c:formatCode>General</c:formatCode>
                <c:ptCount val="32"/>
                <c:pt idx="0">
                  <c:v>424886232.45700002</c:v>
                </c:pt>
                <c:pt idx="1">
                  <c:v>424886232.54400003</c:v>
                </c:pt>
                <c:pt idx="2">
                  <c:v>424886233.71899998</c:v>
                </c:pt>
                <c:pt idx="3">
                  <c:v>424886228.21799999</c:v>
                </c:pt>
                <c:pt idx="4">
                  <c:v>424886230.47600001</c:v>
                </c:pt>
                <c:pt idx="5">
                  <c:v>424886235.17900002</c:v>
                </c:pt>
                <c:pt idx="6">
                  <c:v>424886233.79699999</c:v>
                </c:pt>
                <c:pt idx="7">
                  <c:v>425067001.01599997</c:v>
                </c:pt>
                <c:pt idx="8">
                  <c:v>425247782.21700001</c:v>
                </c:pt>
                <c:pt idx="9">
                  <c:v>425428549.01599997</c:v>
                </c:pt>
                <c:pt idx="10">
                  <c:v>425609335.29500002</c:v>
                </c:pt>
                <c:pt idx="11">
                  <c:v>425790101.24900001</c:v>
                </c:pt>
                <c:pt idx="12">
                  <c:v>426211914.273</c:v>
                </c:pt>
                <c:pt idx="13">
                  <c:v>426633714.61299998</c:v>
                </c:pt>
                <c:pt idx="14">
                  <c:v>427055524.05500001</c:v>
                </c:pt>
                <c:pt idx="15">
                  <c:v>427477326.04400003</c:v>
                </c:pt>
                <c:pt idx="16">
                  <c:v>427899147.25</c:v>
                </c:pt>
                <c:pt idx="17">
                  <c:v>428577043.44199997</c:v>
                </c:pt>
                <c:pt idx="18">
                  <c:v>429254959.97000003</c:v>
                </c:pt>
                <c:pt idx="19">
                  <c:v>429932869.92500001</c:v>
                </c:pt>
                <c:pt idx="20">
                  <c:v>430610778.53799999</c:v>
                </c:pt>
                <c:pt idx="21">
                  <c:v>431288667.56699997</c:v>
                </c:pt>
                <c:pt idx="22">
                  <c:v>431657755.71600002</c:v>
                </c:pt>
                <c:pt idx="23">
                  <c:v>432026834.85000002</c:v>
                </c:pt>
                <c:pt idx="24">
                  <c:v>432395933.86000001</c:v>
                </c:pt>
                <c:pt idx="25">
                  <c:v>432765004.91000003</c:v>
                </c:pt>
                <c:pt idx="26">
                  <c:v>433134076.667</c:v>
                </c:pt>
                <c:pt idx="27">
                  <c:v>433277204.35500002</c:v>
                </c:pt>
                <c:pt idx="28">
                  <c:v>433420313.93800002</c:v>
                </c:pt>
                <c:pt idx="29">
                  <c:v>433563442.41900003</c:v>
                </c:pt>
                <c:pt idx="30">
                  <c:v>433706543.85100001</c:v>
                </c:pt>
                <c:pt idx="31">
                  <c:v>433849645.77899998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0A-4506-9A65-F9C370628AE5}"/>
            </c:ext>
          </c:extLst>
        </c:ser>
        <c:ser>
          <c:idx val="3"/>
          <c:order val="3"/>
          <c:tx>
            <c:strRef>
              <c:f>'Total Energy'!$B$44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Energy'!$C$44:$AH$44</c:f>
              <c:numCache>
                <c:formatCode>General</c:formatCode>
                <c:ptCount val="32"/>
                <c:pt idx="0">
                  <c:v>259975762.697</c:v>
                </c:pt>
                <c:pt idx="1">
                  <c:v>260871758.493</c:v>
                </c:pt>
                <c:pt idx="2">
                  <c:v>260954955.542</c:v>
                </c:pt>
                <c:pt idx="3">
                  <c:v>261868120.574</c:v>
                </c:pt>
                <c:pt idx="4">
                  <c:v>262838513.5</c:v>
                </c:pt>
                <c:pt idx="5">
                  <c:v>263821852.40000001</c:v>
                </c:pt>
                <c:pt idx="6">
                  <c:v>264797123.64399999</c:v>
                </c:pt>
                <c:pt idx="7">
                  <c:v>265608042.71700001</c:v>
                </c:pt>
                <c:pt idx="8">
                  <c:v>266435631.26899999</c:v>
                </c:pt>
                <c:pt idx="9">
                  <c:v>267296540.53400001</c:v>
                </c:pt>
                <c:pt idx="10">
                  <c:v>268191790.778</c:v>
                </c:pt>
                <c:pt idx="11">
                  <c:v>269121745.81099999</c:v>
                </c:pt>
                <c:pt idx="12">
                  <c:v>269929233.61500001</c:v>
                </c:pt>
                <c:pt idx="13">
                  <c:v>270731192.45200002</c:v>
                </c:pt>
                <c:pt idx="14">
                  <c:v>271511955.37900001</c:v>
                </c:pt>
                <c:pt idx="15">
                  <c:v>272270071.38700002</c:v>
                </c:pt>
                <c:pt idx="16">
                  <c:v>273011629.76599997</c:v>
                </c:pt>
                <c:pt idx="17">
                  <c:v>273513615.88200003</c:v>
                </c:pt>
                <c:pt idx="18">
                  <c:v>274008512.48699999</c:v>
                </c:pt>
                <c:pt idx="19">
                  <c:v>274497320.68099999</c:v>
                </c:pt>
                <c:pt idx="20">
                  <c:v>274980315.50700003</c:v>
                </c:pt>
                <c:pt idx="21">
                  <c:v>275457571.06900001</c:v>
                </c:pt>
                <c:pt idx="22">
                  <c:v>275766371.18800002</c:v>
                </c:pt>
                <c:pt idx="23">
                  <c:v>276070283.46399999</c:v>
                </c:pt>
                <c:pt idx="24">
                  <c:v>276369370.95700002</c:v>
                </c:pt>
                <c:pt idx="25">
                  <c:v>276664364.71700001</c:v>
                </c:pt>
                <c:pt idx="26">
                  <c:v>276965787.43300003</c:v>
                </c:pt>
                <c:pt idx="27">
                  <c:v>277172111.49900001</c:v>
                </c:pt>
                <c:pt idx="28">
                  <c:v>277390630.66299999</c:v>
                </c:pt>
                <c:pt idx="29">
                  <c:v>277617589.76700002</c:v>
                </c:pt>
                <c:pt idx="30">
                  <c:v>277846177.93699998</c:v>
                </c:pt>
                <c:pt idx="31">
                  <c:v>278073921.43699998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0A-4506-9A65-F9C370628AE5}"/>
            </c:ext>
          </c:extLst>
        </c:ser>
        <c:ser>
          <c:idx val="4"/>
          <c:order val="4"/>
          <c:tx>
            <c:strRef>
              <c:f>'Total Energy'!$B$41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Energy'!$C$41:$AH$41</c:f>
              <c:numCache>
                <c:formatCode>General</c:formatCode>
                <c:ptCount val="32"/>
                <c:pt idx="0">
                  <c:v>205953267.586</c:v>
                </c:pt>
                <c:pt idx="1">
                  <c:v>206365308.965</c:v>
                </c:pt>
                <c:pt idx="2">
                  <c:v>208638901.09799999</c:v>
                </c:pt>
                <c:pt idx="3">
                  <c:v>210900619.287</c:v>
                </c:pt>
                <c:pt idx="4">
                  <c:v>213150531.65000001</c:v>
                </c:pt>
                <c:pt idx="5">
                  <c:v>215388597.287</c:v>
                </c:pt>
                <c:pt idx="6">
                  <c:v>217614850.68000001</c:v>
                </c:pt>
                <c:pt idx="7">
                  <c:v>217927876.35100001</c:v>
                </c:pt>
                <c:pt idx="8">
                  <c:v>218244098.44299999</c:v>
                </c:pt>
                <c:pt idx="9">
                  <c:v>218563488.46799999</c:v>
                </c:pt>
                <c:pt idx="10">
                  <c:v>218885943.873</c:v>
                </c:pt>
                <c:pt idx="11">
                  <c:v>219211455.66</c:v>
                </c:pt>
                <c:pt idx="12">
                  <c:v>219217846.829</c:v>
                </c:pt>
                <c:pt idx="13">
                  <c:v>219221934.227</c:v>
                </c:pt>
                <c:pt idx="14">
                  <c:v>219223740.435</c:v>
                </c:pt>
                <c:pt idx="15">
                  <c:v>219223251.09400001</c:v>
                </c:pt>
                <c:pt idx="16">
                  <c:v>219220511.792</c:v>
                </c:pt>
                <c:pt idx="17">
                  <c:v>219048990.204</c:v>
                </c:pt>
                <c:pt idx="18">
                  <c:v>218875997.19600001</c:v>
                </c:pt>
                <c:pt idx="19">
                  <c:v>218701523.058</c:v>
                </c:pt>
                <c:pt idx="20">
                  <c:v>218525587.27900001</c:v>
                </c:pt>
                <c:pt idx="21">
                  <c:v>218348162.19999999</c:v>
                </c:pt>
                <c:pt idx="22">
                  <c:v>218415844.95899999</c:v>
                </c:pt>
                <c:pt idx="23">
                  <c:v>218480950.28400001</c:v>
                </c:pt>
                <c:pt idx="24">
                  <c:v>218543527.88600001</c:v>
                </c:pt>
                <c:pt idx="25">
                  <c:v>218603545.73300001</c:v>
                </c:pt>
                <c:pt idx="26">
                  <c:v>218661023.33700001</c:v>
                </c:pt>
                <c:pt idx="27">
                  <c:v>218806923.227</c:v>
                </c:pt>
                <c:pt idx="28">
                  <c:v>218949835.007</c:v>
                </c:pt>
                <c:pt idx="29">
                  <c:v>219089757.847</c:v>
                </c:pt>
                <c:pt idx="30">
                  <c:v>219226710.66800001</c:v>
                </c:pt>
                <c:pt idx="31">
                  <c:v>219360673.51800001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0A-4506-9A65-F9C370628AE5}"/>
            </c:ext>
          </c:extLst>
        </c:ser>
        <c:ser>
          <c:idx val="5"/>
          <c:order val="5"/>
          <c:tx>
            <c:strRef>
              <c:f>'Total Energy'!$B$40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Energy'!$C$40:$AH$40</c:f>
              <c:numCache>
                <c:formatCode>General</c:formatCode>
                <c:ptCount val="32"/>
                <c:pt idx="0">
                  <c:v>8877019.4220000003</c:v>
                </c:pt>
                <c:pt idx="1">
                  <c:v>8877019.4220000003</c:v>
                </c:pt>
                <c:pt idx="2">
                  <c:v>8877019.4220000003</c:v>
                </c:pt>
                <c:pt idx="3">
                  <c:v>8877019.4220000003</c:v>
                </c:pt>
                <c:pt idx="4">
                  <c:v>8877019.4220000003</c:v>
                </c:pt>
                <c:pt idx="5">
                  <c:v>8877019.4220000003</c:v>
                </c:pt>
                <c:pt idx="6">
                  <c:v>8877019.4220000003</c:v>
                </c:pt>
                <c:pt idx="7">
                  <c:v>8877019.4220000003</c:v>
                </c:pt>
                <c:pt idx="8">
                  <c:v>8877019.4220000003</c:v>
                </c:pt>
                <c:pt idx="9">
                  <c:v>8877019.4220000003</c:v>
                </c:pt>
                <c:pt idx="10">
                  <c:v>8877019.4220000003</c:v>
                </c:pt>
                <c:pt idx="11">
                  <c:v>8877019.4220000003</c:v>
                </c:pt>
                <c:pt idx="12">
                  <c:v>8877019.4220000003</c:v>
                </c:pt>
                <c:pt idx="13">
                  <c:v>8877019.4220000003</c:v>
                </c:pt>
                <c:pt idx="14">
                  <c:v>8877019.4220000003</c:v>
                </c:pt>
                <c:pt idx="15">
                  <c:v>8877019.4220000003</c:v>
                </c:pt>
                <c:pt idx="16">
                  <c:v>8877019.4220000003</c:v>
                </c:pt>
                <c:pt idx="17">
                  <c:v>8877019.4220000003</c:v>
                </c:pt>
                <c:pt idx="18">
                  <c:v>8877019.4220000003</c:v>
                </c:pt>
                <c:pt idx="19">
                  <c:v>8877019.4220000003</c:v>
                </c:pt>
                <c:pt idx="20">
                  <c:v>8877019.4220000003</c:v>
                </c:pt>
                <c:pt idx="21">
                  <c:v>8877019.4220000003</c:v>
                </c:pt>
                <c:pt idx="22">
                  <c:v>8877019.4220000003</c:v>
                </c:pt>
                <c:pt idx="23">
                  <c:v>8877019.4220000003</c:v>
                </c:pt>
                <c:pt idx="24">
                  <c:v>8877019.4220000003</c:v>
                </c:pt>
                <c:pt idx="25">
                  <c:v>8877019.4220000003</c:v>
                </c:pt>
                <c:pt idx="26">
                  <c:v>8877019.4220000003</c:v>
                </c:pt>
                <c:pt idx="27">
                  <c:v>8877019.4220000003</c:v>
                </c:pt>
                <c:pt idx="28">
                  <c:v>8877019.4220000003</c:v>
                </c:pt>
                <c:pt idx="29">
                  <c:v>8877019.4220000003</c:v>
                </c:pt>
                <c:pt idx="30">
                  <c:v>8877019.4220000003</c:v>
                </c:pt>
                <c:pt idx="31">
                  <c:v>8877019.4220000003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0A-4506-9A65-F9C37062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70001"/>
        <c:axId val="50370002"/>
      </c:areaChart>
      <c:catAx>
        <c:axId val="503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70002"/>
        <c:crosses val="autoZero"/>
        <c:auto val="1"/>
        <c:lblAlgn val="ctr"/>
        <c:lblOffset val="100"/>
        <c:tickLblSkip val="2"/>
        <c:noMultiLvlLbl val="0"/>
      </c:catAx>
      <c:valAx>
        <c:axId val="503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7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Energy'!$B$42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Energy'!$C$42,'Total Energy'!$AH$42)</c:f>
              <c:numCache>
                <c:formatCode>General</c:formatCode>
                <c:ptCount val="2"/>
                <c:pt idx="0">
                  <c:v>701026638.59179997</c:v>
                </c:pt>
                <c:pt idx="1">
                  <c:v>701026638.6918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9-4BC4-9C57-2142ED38E51A}"/>
            </c:ext>
          </c:extLst>
        </c:ser>
        <c:ser>
          <c:idx val="1"/>
          <c:order val="1"/>
          <c:tx>
            <c:strRef>
              <c:f>'Total Energy'!$B$45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Energy'!$C$45,'Total Energy'!$AH$45)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517016785.33999997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9-4BC4-9C57-2142ED38E51A}"/>
            </c:ext>
          </c:extLst>
        </c:ser>
        <c:ser>
          <c:idx val="2"/>
          <c:order val="2"/>
          <c:tx>
            <c:strRef>
              <c:f>'Total Energy'!$B$43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Energy'!$C$43,'Total Energy'!$AH$43)</c:f>
              <c:numCache>
                <c:formatCode>General</c:formatCode>
                <c:ptCount val="2"/>
                <c:pt idx="0">
                  <c:v>424886232.45700002</c:v>
                </c:pt>
                <c:pt idx="1">
                  <c:v>433849645.77899998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29-4BC4-9C57-2142ED38E51A}"/>
            </c:ext>
          </c:extLst>
        </c:ser>
        <c:ser>
          <c:idx val="3"/>
          <c:order val="3"/>
          <c:tx>
            <c:strRef>
              <c:f>'Total Energy'!$B$44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Energy'!$C$44,'Total Energy'!$AH$44)</c:f>
              <c:numCache>
                <c:formatCode>General</c:formatCode>
                <c:ptCount val="2"/>
                <c:pt idx="0">
                  <c:v>259975762.697</c:v>
                </c:pt>
                <c:pt idx="1">
                  <c:v>278073921.43699998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29-4BC4-9C57-2142ED38E51A}"/>
            </c:ext>
          </c:extLst>
        </c:ser>
        <c:ser>
          <c:idx val="4"/>
          <c:order val="4"/>
          <c:tx>
            <c:strRef>
              <c:f>'Total Energy'!$B$41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Energy'!$C$41,'Total Energy'!$AH$41)</c:f>
              <c:numCache>
                <c:formatCode>General</c:formatCode>
                <c:ptCount val="2"/>
                <c:pt idx="0">
                  <c:v>205953267.586</c:v>
                </c:pt>
                <c:pt idx="1">
                  <c:v>219360673.51800001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29-4BC4-9C57-2142ED38E51A}"/>
            </c:ext>
          </c:extLst>
        </c:ser>
        <c:ser>
          <c:idx val="5"/>
          <c:order val="5"/>
          <c:tx>
            <c:strRef>
              <c:f>'Total Energy'!$B$40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Energy'!$C$11,'Total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Energy'!$C$40,'Total Energy'!$AH$40)</c:f>
              <c:numCache>
                <c:formatCode>General</c:formatCode>
                <c:ptCount val="2"/>
                <c:pt idx="0">
                  <c:v>8877019.4220000003</c:v>
                </c:pt>
                <c:pt idx="1">
                  <c:v>8877019.4220000003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29-4BC4-9C57-2142ED38E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380001"/>
        <c:axId val="50380002"/>
      </c:barChart>
      <c:catAx>
        <c:axId val="503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80002"/>
        <c:crosses val="autoZero"/>
        <c:auto val="1"/>
        <c:lblAlgn val="ctr"/>
        <c:lblOffset val="100"/>
        <c:noMultiLvlLbl val="0"/>
      </c:catAx>
      <c:valAx>
        <c:axId val="503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8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Energy'!$B$50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Energy'!$C$50:$AH$50</c:f>
              <c:numCache>
                <c:formatCode>General</c:formatCode>
                <c:ptCount val="32"/>
                <c:pt idx="0">
                  <c:v>653072660.62</c:v>
                </c:pt>
                <c:pt idx="1">
                  <c:v>651789712.49000001</c:v>
                </c:pt>
                <c:pt idx="2">
                  <c:v>651789722.59000003</c:v>
                </c:pt>
                <c:pt idx="3">
                  <c:v>651789712.59000003</c:v>
                </c:pt>
                <c:pt idx="4">
                  <c:v>650774844.10399997</c:v>
                </c:pt>
                <c:pt idx="5">
                  <c:v>649759562.93200004</c:v>
                </c:pt>
                <c:pt idx="6">
                  <c:v>604629692.83200002</c:v>
                </c:pt>
                <c:pt idx="7">
                  <c:v>603614375.64999998</c:v>
                </c:pt>
                <c:pt idx="8">
                  <c:v>602599205.98899996</c:v>
                </c:pt>
                <c:pt idx="9">
                  <c:v>601584239.51900005</c:v>
                </c:pt>
                <c:pt idx="10">
                  <c:v>600569162.22099996</c:v>
                </c:pt>
                <c:pt idx="11">
                  <c:v>517081174.00999999</c:v>
                </c:pt>
                <c:pt idx="12">
                  <c:v>516065850.86000001</c:v>
                </c:pt>
                <c:pt idx="13">
                  <c:v>515050347.227</c:v>
                </c:pt>
                <c:pt idx="14">
                  <c:v>514034456.59600002</c:v>
                </c:pt>
                <c:pt idx="15">
                  <c:v>513018254.06199998</c:v>
                </c:pt>
                <c:pt idx="16">
                  <c:v>512001377.75599998</c:v>
                </c:pt>
                <c:pt idx="17">
                  <c:v>512001497.96799999</c:v>
                </c:pt>
                <c:pt idx="18">
                  <c:v>512001497.96799999</c:v>
                </c:pt>
                <c:pt idx="19">
                  <c:v>512001377.76800001</c:v>
                </c:pt>
                <c:pt idx="20">
                  <c:v>512001507.96799999</c:v>
                </c:pt>
                <c:pt idx="21">
                  <c:v>512001377.75599998</c:v>
                </c:pt>
                <c:pt idx="22">
                  <c:v>512001517.96899998</c:v>
                </c:pt>
                <c:pt idx="23">
                  <c:v>512001387.96799999</c:v>
                </c:pt>
                <c:pt idx="24">
                  <c:v>512001517.96899998</c:v>
                </c:pt>
                <c:pt idx="25">
                  <c:v>512001387.86799997</c:v>
                </c:pt>
                <c:pt idx="26">
                  <c:v>491383153.20999998</c:v>
                </c:pt>
                <c:pt idx="27">
                  <c:v>491383283.31</c:v>
                </c:pt>
                <c:pt idx="28">
                  <c:v>491383173.31</c:v>
                </c:pt>
                <c:pt idx="29">
                  <c:v>491383163.31</c:v>
                </c:pt>
                <c:pt idx="30">
                  <c:v>491383283.31099999</c:v>
                </c:pt>
                <c:pt idx="31">
                  <c:v>491383173.31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1-4585-BEC0-D1D1D3E9B752}"/>
            </c:ext>
          </c:extLst>
        </c:ser>
        <c:ser>
          <c:idx val="1"/>
          <c:order val="1"/>
          <c:tx>
            <c:strRef>
              <c:f>'Total Energy'!$B$57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Energy'!$C$57:$AH$57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581432680.44000006</c:v>
                </c:pt>
                <c:pt idx="2">
                  <c:v>566556353.37300003</c:v>
                </c:pt>
                <c:pt idx="3">
                  <c:v>548603597.39600003</c:v>
                </c:pt>
                <c:pt idx="4">
                  <c:v>531846903.31800002</c:v>
                </c:pt>
                <c:pt idx="5">
                  <c:v>509521022.352</c:v>
                </c:pt>
                <c:pt idx="6">
                  <c:v>476146337.38</c:v>
                </c:pt>
                <c:pt idx="7">
                  <c:v>450801625.41000003</c:v>
                </c:pt>
                <c:pt idx="8">
                  <c:v>424260026.32999998</c:v>
                </c:pt>
                <c:pt idx="9">
                  <c:v>397368123.36000001</c:v>
                </c:pt>
                <c:pt idx="10">
                  <c:v>371609520.39999998</c:v>
                </c:pt>
                <c:pt idx="11">
                  <c:v>349262801.31999999</c:v>
                </c:pt>
                <c:pt idx="12">
                  <c:v>329789993.33999997</c:v>
                </c:pt>
                <c:pt idx="13">
                  <c:v>312655864.37</c:v>
                </c:pt>
                <c:pt idx="14">
                  <c:v>296744071.41000003</c:v>
                </c:pt>
                <c:pt idx="15">
                  <c:v>279057289.32999998</c:v>
                </c:pt>
                <c:pt idx="16">
                  <c:v>263902833.34999999</c:v>
                </c:pt>
                <c:pt idx="17">
                  <c:v>254067855.38999999</c:v>
                </c:pt>
                <c:pt idx="18">
                  <c:v>244081734.31999999</c:v>
                </c:pt>
                <c:pt idx="19">
                  <c:v>234410956.34</c:v>
                </c:pt>
                <c:pt idx="20">
                  <c:v>225417225.34</c:v>
                </c:pt>
                <c:pt idx="21">
                  <c:v>217217860.34</c:v>
                </c:pt>
                <c:pt idx="22">
                  <c:v>211622512.34</c:v>
                </c:pt>
                <c:pt idx="23">
                  <c:v>206442928.34</c:v>
                </c:pt>
                <c:pt idx="24">
                  <c:v>201823948.34</c:v>
                </c:pt>
                <c:pt idx="25">
                  <c:v>197825358.34</c:v>
                </c:pt>
                <c:pt idx="26">
                  <c:v>194427178.34</c:v>
                </c:pt>
                <c:pt idx="27">
                  <c:v>191611049.34</c:v>
                </c:pt>
                <c:pt idx="28">
                  <c:v>189323291.34</c:v>
                </c:pt>
                <c:pt idx="29">
                  <c:v>187496124.34</c:v>
                </c:pt>
                <c:pt idx="30">
                  <c:v>186035024.34</c:v>
                </c:pt>
                <c:pt idx="31">
                  <c:v>184809207.74000001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1-4585-BEC0-D1D1D3E9B752}"/>
            </c:ext>
          </c:extLst>
        </c:ser>
        <c:ser>
          <c:idx val="2"/>
          <c:order val="2"/>
          <c:tx>
            <c:strRef>
              <c:f>'Total Energy'!$B$51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Energy'!$C$51:$AH$51</c:f>
              <c:numCache>
                <c:formatCode>General</c:formatCode>
                <c:ptCount val="32"/>
                <c:pt idx="0">
                  <c:v>452108148.43599999</c:v>
                </c:pt>
                <c:pt idx="1">
                  <c:v>452108144.05599999</c:v>
                </c:pt>
                <c:pt idx="2">
                  <c:v>452108146.57725197</c:v>
                </c:pt>
                <c:pt idx="3">
                  <c:v>452108151.299658</c:v>
                </c:pt>
                <c:pt idx="4">
                  <c:v>452108137.43199998</c:v>
                </c:pt>
                <c:pt idx="5">
                  <c:v>452108133.08499998</c:v>
                </c:pt>
                <c:pt idx="6">
                  <c:v>446206719.653</c:v>
                </c:pt>
                <c:pt idx="7">
                  <c:v>440627179.35600001</c:v>
                </c:pt>
                <c:pt idx="8">
                  <c:v>435211251.87599999</c:v>
                </c:pt>
                <c:pt idx="9">
                  <c:v>429951951.463</c:v>
                </c:pt>
                <c:pt idx="10">
                  <c:v>424842382.48699999</c:v>
                </c:pt>
                <c:pt idx="11">
                  <c:v>419876421.10799998</c:v>
                </c:pt>
                <c:pt idx="12">
                  <c:v>415246712.06400001</c:v>
                </c:pt>
                <c:pt idx="13">
                  <c:v>410743517.49199998</c:v>
                </c:pt>
                <c:pt idx="14">
                  <c:v>406361567.04900002</c:v>
                </c:pt>
                <c:pt idx="15">
                  <c:v>402096093.30199999</c:v>
                </c:pt>
                <c:pt idx="16">
                  <c:v>397942468.82599998</c:v>
                </c:pt>
                <c:pt idx="17">
                  <c:v>394093911.39399999</c:v>
                </c:pt>
                <c:pt idx="18">
                  <c:v>390343636.80000001</c:v>
                </c:pt>
                <c:pt idx="19">
                  <c:v>386687932.43599999</c:v>
                </c:pt>
                <c:pt idx="20">
                  <c:v>383123235.39899999</c:v>
                </c:pt>
                <c:pt idx="21">
                  <c:v>379646193.59299999</c:v>
                </c:pt>
                <c:pt idx="22">
                  <c:v>376029859.00999999</c:v>
                </c:pt>
                <c:pt idx="23">
                  <c:v>372500295.77700001</c:v>
                </c:pt>
                <c:pt idx="24">
                  <c:v>369054396.20899999</c:v>
                </c:pt>
                <c:pt idx="25">
                  <c:v>365689245.028</c:v>
                </c:pt>
                <c:pt idx="26">
                  <c:v>362401983.95599997</c:v>
                </c:pt>
                <c:pt idx="27">
                  <c:v>359035625.39999998</c:v>
                </c:pt>
                <c:pt idx="28">
                  <c:v>355745403.81</c:v>
                </c:pt>
                <c:pt idx="29">
                  <c:v>352528857.72299999</c:v>
                </c:pt>
                <c:pt idx="30">
                  <c:v>349383380.97299999</c:v>
                </c:pt>
                <c:pt idx="31">
                  <c:v>346306744.30199999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51-4585-BEC0-D1D1D3E9B752}"/>
            </c:ext>
          </c:extLst>
        </c:ser>
        <c:ser>
          <c:idx val="3"/>
          <c:order val="3"/>
          <c:tx>
            <c:strRef>
              <c:f>'Total Energy'!$B$56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Energy'!$C$56:$AH$56</c:f>
              <c:numCache>
                <c:formatCode>General</c:formatCode>
                <c:ptCount val="32"/>
                <c:pt idx="0">
                  <c:v>228596226.74200001</c:v>
                </c:pt>
                <c:pt idx="1">
                  <c:v>228057436.59200001</c:v>
                </c:pt>
                <c:pt idx="2">
                  <c:v>227070608.48199999</c:v>
                </c:pt>
                <c:pt idx="3">
                  <c:v>226645155.08899999</c:v>
                </c:pt>
                <c:pt idx="4">
                  <c:v>225151956.088</c:v>
                </c:pt>
                <c:pt idx="5">
                  <c:v>219063710.06799999</c:v>
                </c:pt>
                <c:pt idx="6">
                  <c:v>215780613.007</c:v>
                </c:pt>
                <c:pt idx="7">
                  <c:v>210117798.43000001</c:v>
                </c:pt>
                <c:pt idx="8">
                  <c:v>204366059.56900001</c:v>
                </c:pt>
                <c:pt idx="9">
                  <c:v>198584907.597</c:v>
                </c:pt>
                <c:pt idx="10">
                  <c:v>190351553.037</c:v>
                </c:pt>
                <c:pt idx="11">
                  <c:v>184665201.91</c:v>
                </c:pt>
                <c:pt idx="12">
                  <c:v>177182259.8175</c:v>
                </c:pt>
                <c:pt idx="13">
                  <c:v>169459966.32820001</c:v>
                </c:pt>
                <c:pt idx="14">
                  <c:v>161316147.2022</c:v>
                </c:pt>
                <c:pt idx="15">
                  <c:v>151768581.34265</c:v>
                </c:pt>
                <c:pt idx="16">
                  <c:v>144722590.48662999</c:v>
                </c:pt>
                <c:pt idx="17">
                  <c:v>136194496.37860999</c:v>
                </c:pt>
                <c:pt idx="18">
                  <c:v>127195191.46593</c:v>
                </c:pt>
                <c:pt idx="19">
                  <c:v>117840342.38837001</c:v>
                </c:pt>
                <c:pt idx="20">
                  <c:v>107979996.57905</c:v>
                </c:pt>
                <c:pt idx="21">
                  <c:v>99537012.332169995</c:v>
                </c:pt>
                <c:pt idx="22">
                  <c:v>97603589.267299995</c:v>
                </c:pt>
                <c:pt idx="23">
                  <c:v>96614299.098870009</c:v>
                </c:pt>
                <c:pt idx="24">
                  <c:v>95541313.026879996</c:v>
                </c:pt>
                <c:pt idx="25">
                  <c:v>94019453.326499999</c:v>
                </c:pt>
                <c:pt idx="26">
                  <c:v>93721928.262610003</c:v>
                </c:pt>
                <c:pt idx="27">
                  <c:v>92783390.515770003</c:v>
                </c:pt>
                <c:pt idx="28">
                  <c:v>91828037.661640003</c:v>
                </c:pt>
                <c:pt idx="29">
                  <c:v>90855630.341159999</c:v>
                </c:pt>
                <c:pt idx="30">
                  <c:v>89393535.311200008</c:v>
                </c:pt>
                <c:pt idx="31">
                  <c:v>89132596.664229989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51-4585-BEC0-D1D1D3E9B752}"/>
            </c:ext>
          </c:extLst>
        </c:ser>
        <c:ser>
          <c:idx val="4"/>
          <c:order val="4"/>
          <c:tx>
            <c:strRef>
              <c:f>'Total Energy'!$B$54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Energy'!$C$54:$AH$54</c:f>
              <c:numCache>
                <c:formatCode>General</c:formatCode>
                <c:ptCount val="32"/>
                <c:pt idx="0">
                  <c:v>110616717.56999999</c:v>
                </c:pt>
                <c:pt idx="1">
                  <c:v>110804365.98999999</c:v>
                </c:pt>
                <c:pt idx="2">
                  <c:v>111546900.91</c:v>
                </c:pt>
                <c:pt idx="3">
                  <c:v>112395776.8</c:v>
                </c:pt>
                <c:pt idx="4">
                  <c:v>113015533.59999999</c:v>
                </c:pt>
                <c:pt idx="5">
                  <c:v>113295507</c:v>
                </c:pt>
                <c:pt idx="6">
                  <c:v>113095682</c:v>
                </c:pt>
                <c:pt idx="7">
                  <c:v>112287113</c:v>
                </c:pt>
                <c:pt idx="8">
                  <c:v>111358033</c:v>
                </c:pt>
                <c:pt idx="9">
                  <c:v>110309248</c:v>
                </c:pt>
                <c:pt idx="10">
                  <c:v>109122609</c:v>
                </c:pt>
                <c:pt idx="11">
                  <c:v>107459818</c:v>
                </c:pt>
                <c:pt idx="12">
                  <c:v>105569501</c:v>
                </c:pt>
                <c:pt idx="13">
                  <c:v>103518360</c:v>
                </c:pt>
                <c:pt idx="14">
                  <c:v>101268705</c:v>
                </c:pt>
                <c:pt idx="15">
                  <c:v>98807261.400000006</c:v>
                </c:pt>
                <c:pt idx="16">
                  <c:v>96282399.200000003</c:v>
                </c:pt>
                <c:pt idx="17">
                  <c:v>93470185.599999994</c:v>
                </c:pt>
                <c:pt idx="18">
                  <c:v>90385997.900000006</c:v>
                </c:pt>
                <c:pt idx="19">
                  <c:v>86957978.799999997</c:v>
                </c:pt>
                <c:pt idx="20">
                  <c:v>83194030.5</c:v>
                </c:pt>
                <c:pt idx="21">
                  <c:v>79012821.099999994</c:v>
                </c:pt>
                <c:pt idx="22">
                  <c:v>78514778</c:v>
                </c:pt>
                <c:pt idx="23">
                  <c:v>78254416.099999994</c:v>
                </c:pt>
                <c:pt idx="24">
                  <c:v>78152627</c:v>
                </c:pt>
                <c:pt idx="25">
                  <c:v>78219201.5</c:v>
                </c:pt>
                <c:pt idx="26">
                  <c:v>78288122.900000006</c:v>
                </c:pt>
                <c:pt idx="27">
                  <c:v>78361885.299999997</c:v>
                </c:pt>
                <c:pt idx="28">
                  <c:v>78436064.900000006</c:v>
                </c:pt>
                <c:pt idx="29">
                  <c:v>78509086.400000006</c:v>
                </c:pt>
                <c:pt idx="30">
                  <c:v>78590612</c:v>
                </c:pt>
                <c:pt idx="31">
                  <c:v>78676752.5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51-4585-BEC0-D1D1D3E9B752}"/>
            </c:ext>
          </c:extLst>
        </c:ser>
        <c:ser>
          <c:idx val="5"/>
          <c:order val="5"/>
          <c:tx>
            <c:strRef>
              <c:f>'Total Energy'!$B$58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Energy'!$C$58:$AH$58</c:f>
              <c:numCache>
                <c:formatCode>General</c:formatCode>
                <c:ptCount val="32"/>
                <c:pt idx="0">
                  <c:v>71613249.542799994</c:v>
                </c:pt>
                <c:pt idx="1">
                  <c:v>71778356.482800007</c:v>
                </c:pt>
                <c:pt idx="2">
                  <c:v>71917413.382799998</c:v>
                </c:pt>
                <c:pt idx="3">
                  <c:v>72129717.892800003</c:v>
                </c:pt>
                <c:pt idx="4">
                  <c:v>72039866.5528</c:v>
                </c:pt>
                <c:pt idx="5">
                  <c:v>71669543.952800006</c:v>
                </c:pt>
                <c:pt idx="6">
                  <c:v>71016008.432799995</c:v>
                </c:pt>
                <c:pt idx="7">
                  <c:v>70030295.722800002</c:v>
                </c:pt>
                <c:pt idx="8">
                  <c:v>68806108.282800004</c:v>
                </c:pt>
                <c:pt idx="9">
                  <c:v>67318146.032800004</c:v>
                </c:pt>
                <c:pt idx="10">
                  <c:v>65183705.672799997</c:v>
                </c:pt>
                <c:pt idx="11">
                  <c:v>62702990.362800002</c:v>
                </c:pt>
                <c:pt idx="12">
                  <c:v>60026453.522799999</c:v>
                </c:pt>
                <c:pt idx="13">
                  <c:v>57373453.3728</c:v>
                </c:pt>
                <c:pt idx="14">
                  <c:v>54836856.842799999</c:v>
                </c:pt>
                <c:pt idx="15">
                  <c:v>52468202.462800004</c:v>
                </c:pt>
                <c:pt idx="16">
                  <c:v>50336009.862800002</c:v>
                </c:pt>
                <c:pt idx="17">
                  <c:v>48376928.092799999</c:v>
                </c:pt>
                <c:pt idx="18">
                  <c:v>46569012.222800002</c:v>
                </c:pt>
                <c:pt idx="19">
                  <c:v>44884962.6228</c:v>
                </c:pt>
                <c:pt idx="20">
                  <c:v>43309735.822800003</c:v>
                </c:pt>
                <c:pt idx="21">
                  <c:v>41830664.882799998</c:v>
                </c:pt>
                <c:pt idx="22">
                  <c:v>41167026.912799999</c:v>
                </c:pt>
                <c:pt idx="23">
                  <c:v>40684057.382799998</c:v>
                </c:pt>
                <c:pt idx="24">
                  <c:v>40380937.082800001</c:v>
                </c:pt>
                <c:pt idx="25">
                  <c:v>40224918.8028</c:v>
                </c:pt>
                <c:pt idx="26">
                  <c:v>40150869.704800002</c:v>
                </c:pt>
                <c:pt idx="27">
                  <c:v>40114357.448799998</c:v>
                </c:pt>
                <c:pt idx="28">
                  <c:v>40106022.656800002</c:v>
                </c:pt>
                <c:pt idx="29">
                  <c:v>40110289.092799999</c:v>
                </c:pt>
                <c:pt idx="30">
                  <c:v>40119245.1043</c:v>
                </c:pt>
                <c:pt idx="31">
                  <c:v>40129756.109399997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51-4585-BEC0-D1D1D3E9B752}"/>
            </c:ext>
          </c:extLst>
        </c:ser>
        <c:ser>
          <c:idx val="6"/>
          <c:order val="6"/>
          <c:tx>
            <c:strRef>
              <c:f>'Total Energy'!$B$52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Energy'!$C$52:$AH$52</c:f>
              <c:numCache>
                <c:formatCode>General</c:formatCode>
                <c:ptCount val="32"/>
                <c:pt idx="0">
                  <c:v>47932011.942000002</c:v>
                </c:pt>
                <c:pt idx="1">
                  <c:v>47837688.825999998</c:v>
                </c:pt>
                <c:pt idx="2">
                  <c:v>48069425.946000002</c:v>
                </c:pt>
                <c:pt idx="3">
                  <c:v>48304895.119000003</c:v>
                </c:pt>
                <c:pt idx="4">
                  <c:v>48467426.150000013</c:v>
                </c:pt>
                <c:pt idx="5">
                  <c:v>48465262.340000004</c:v>
                </c:pt>
                <c:pt idx="6">
                  <c:v>48232276.840000004</c:v>
                </c:pt>
                <c:pt idx="7">
                  <c:v>47746162.200000003</c:v>
                </c:pt>
                <c:pt idx="8">
                  <c:v>47212347.799999997</c:v>
                </c:pt>
                <c:pt idx="9">
                  <c:v>46633117.399999999</c:v>
                </c:pt>
                <c:pt idx="10">
                  <c:v>46000750.299999997</c:v>
                </c:pt>
                <c:pt idx="11">
                  <c:v>45160585.5</c:v>
                </c:pt>
                <c:pt idx="12">
                  <c:v>44237297.200000003</c:v>
                </c:pt>
                <c:pt idx="13">
                  <c:v>43251110.600000001</c:v>
                </c:pt>
                <c:pt idx="14">
                  <c:v>42185265.5</c:v>
                </c:pt>
                <c:pt idx="15">
                  <c:v>41032515.200000003</c:v>
                </c:pt>
                <c:pt idx="16">
                  <c:v>39819919.700000003</c:v>
                </c:pt>
                <c:pt idx="17">
                  <c:v>38489606.299999997</c:v>
                </c:pt>
                <c:pt idx="18">
                  <c:v>37028371</c:v>
                </c:pt>
                <c:pt idx="19">
                  <c:v>35393053.399999999</c:v>
                </c:pt>
                <c:pt idx="20">
                  <c:v>33575127.700000003</c:v>
                </c:pt>
                <c:pt idx="21">
                  <c:v>31541013.300000001</c:v>
                </c:pt>
                <c:pt idx="22">
                  <c:v>31134073.199999999</c:v>
                </c:pt>
                <c:pt idx="23">
                  <c:v>30794841.300000001</c:v>
                </c:pt>
                <c:pt idx="24">
                  <c:v>30539886.399999999</c:v>
                </c:pt>
                <c:pt idx="25">
                  <c:v>30374846.899999999</c:v>
                </c:pt>
                <c:pt idx="26">
                  <c:v>30213473.300000001</c:v>
                </c:pt>
                <c:pt idx="27">
                  <c:v>30058269.199999999</c:v>
                </c:pt>
                <c:pt idx="28">
                  <c:v>29903979.199999999</c:v>
                </c:pt>
                <c:pt idx="29">
                  <c:v>29750049.600000001</c:v>
                </c:pt>
                <c:pt idx="30">
                  <c:v>29597919.800000001</c:v>
                </c:pt>
                <c:pt idx="31">
                  <c:v>29447140.600000001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51-4585-BEC0-D1D1D3E9B752}"/>
            </c:ext>
          </c:extLst>
        </c:ser>
        <c:ser>
          <c:idx val="7"/>
          <c:order val="7"/>
          <c:tx>
            <c:strRef>
              <c:f>'Total Energy'!$B$53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Energy'!$C$53:$AH$53</c:f>
              <c:numCache>
                <c:formatCode>General</c:formatCode>
                <c:ptCount val="32"/>
                <c:pt idx="0">
                  <c:v>25078806.98</c:v>
                </c:pt>
                <c:pt idx="1">
                  <c:v>25207328.789999999</c:v>
                </c:pt>
                <c:pt idx="2">
                  <c:v>25276346.670000002</c:v>
                </c:pt>
                <c:pt idx="3">
                  <c:v>25415843.859999999</c:v>
                </c:pt>
                <c:pt idx="4">
                  <c:v>25484773.300000001</c:v>
                </c:pt>
                <c:pt idx="5">
                  <c:v>25530174.300000001</c:v>
                </c:pt>
                <c:pt idx="6">
                  <c:v>25442989</c:v>
                </c:pt>
                <c:pt idx="7">
                  <c:v>25313445</c:v>
                </c:pt>
                <c:pt idx="8">
                  <c:v>25154823</c:v>
                </c:pt>
                <c:pt idx="9">
                  <c:v>24964001</c:v>
                </c:pt>
                <c:pt idx="10">
                  <c:v>24738145</c:v>
                </c:pt>
                <c:pt idx="11">
                  <c:v>24362356</c:v>
                </c:pt>
                <c:pt idx="12">
                  <c:v>23944604</c:v>
                </c:pt>
                <c:pt idx="13">
                  <c:v>23487271</c:v>
                </c:pt>
                <c:pt idx="14">
                  <c:v>22984871</c:v>
                </c:pt>
                <c:pt idx="15">
                  <c:v>22437806</c:v>
                </c:pt>
                <c:pt idx="16">
                  <c:v>21960842</c:v>
                </c:pt>
                <c:pt idx="17">
                  <c:v>21441247</c:v>
                </c:pt>
                <c:pt idx="18">
                  <c:v>20898027</c:v>
                </c:pt>
                <c:pt idx="19">
                  <c:v>20333411</c:v>
                </c:pt>
                <c:pt idx="20">
                  <c:v>19773966</c:v>
                </c:pt>
                <c:pt idx="21">
                  <c:v>19215630</c:v>
                </c:pt>
                <c:pt idx="22">
                  <c:v>19142814</c:v>
                </c:pt>
                <c:pt idx="23">
                  <c:v>19163883</c:v>
                </c:pt>
                <c:pt idx="24">
                  <c:v>19183958</c:v>
                </c:pt>
                <c:pt idx="25">
                  <c:v>19202651</c:v>
                </c:pt>
                <c:pt idx="26">
                  <c:v>19218022</c:v>
                </c:pt>
                <c:pt idx="27">
                  <c:v>19222071</c:v>
                </c:pt>
                <c:pt idx="28">
                  <c:v>19226461</c:v>
                </c:pt>
                <c:pt idx="29">
                  <c:v>19230350</c:v>
                </c:pt>
                <c:pt idx="30">
                  <c:v>19238537</c:v>
                </c:pt>
                <c:pt idx="31">
                  <c:v>19247749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51-4585-BEC0-D1D1D3E9B752}"/>
            </c:ext>
          </c:extLst>
        </c:ser>
        <c:ser>
          <c:idx val="8"/>
          <c:order val="8"/>
          <c:tx>
            <c:strRef>
              <c:f>'Total Energy'!$B$55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Energy'!$C$55:$AH$55</c:f>
              <c:numCache>
                <c:formatCode>General</c:formatCode>
                <c:ptCount val="32"/>
                <c:pt idx="0">
                  <c:v>11701098.921</c:v>
                </c:pt>
                <c:pt idx="1">
                  <c:v>11853984.017000001</c:v>
                </c:pt>
                <c:pt idx="2">
                  <c:v>12018035.525</c:v>
                </c:pt>
                <c:pt idx="3">
                  <c:v>12189549.546</c:v>
                </c:pt>
                <c:pt idx="4">
                  <c:v>12352176.909</c:v>
                </c:pt>
                <c:pt idx="5">
                  <c:v>12322302.018999999</c:v>
                </c:pt>
                <c:pt idx="6">
                  <c:v>12253536.469000001</c:v>
                </c:pt>
                <c:pt idx="7">
                  <c:v>12125409.009</c:v>
                </c:pt>
                <c:pt idx="8">
                  <c:v>11988134.768999999</c:v>
                </c:pt>
                <c:pt idx="9">
                  <c:v>11836777.959000001</c:v>
                </c:pt>
                <c:pt idx="10">
                  <c:v>11720534.709000001</c:v>
                </c:pt>
                <c:pt idx="11">
                  <c:v>11550525.389</c:v>
                </c:pt>
                <c:pt idx="12">
                  <c:v>11358560.389</c:v>
                </c:pt>
                <c:pt idx="13">
                  <c:v>11156875.669</c:v>
                </c:pt>
                <c:pt idx="14">
                  <c:v>10944123.569</c:v>
                </c:pt>
                <c:pt idx="15">
                  <c:v>10719025.369000001</c:v>
                </c:pt>
                <c:pt idx="16">
                  <c:v>10540582.169</c:v>
                </c:pt>
                <c:pt idx="17">
                  <c:v>10338521.369000001</c:v>
                </c:pt>
                <c:pt idx="18">
                  <c:v>10111398.869000001</c:v>
                </c:pt>
                <c:pt idx="19">
                  <c:v>9853542.6689999998</c:v>
                </c:pt>
                <c:pt idx="20">
                  <c:v>9562171.6689999998</c:v>
                </c:pt>
                <c:pt idx="21">
                  <c:v>9230376.3690000009</c:v>
                </c:pt>
                <c:pt idx="22">
                  <c:v>9223458.5690000001</c:v>
                </c:pt>
                <c:pt idx="23">
                  <c:v>9223260.1689999998</c:v>
                </c:pt>
                <c:pt idx="24">
                  <c:v>9235123.9690000005</c:v>
                </c:pt>
                <c:pt idx="25">
                  <c:v>9269692.8690000009</c:v>
                </c:pt>
                <c:pt idx="26">
                  <c:v>9314444.5690000001</c:v>
                </c:pt>
                <c:pt idx="27">
                  <c:v>9361810.6689999998</c:v>
                </c:pt>
                <c:pt idx="28">
                  <c:v>9409367.5690000001</c:v>
                </c:pt>
                <c:pt idx="29">
                  <c:v>9457009.5690000001</c:v>
                </c:pt>
                <c:pt idx="30">
                  <c:v>9504805.8690000009</c:v>
                </c:pt>
                <c:pt idx="31">
                  <c:v>9552670.5690000001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51-4585-BEC0-D1D1D3E9B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90001"/>
        <c:axId val="50390002"/>
      </c:areaChart>
      <c:catAx>
        <c:axId val="503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90002"/>
        <c:crosses val="autoZero"/>
        <c:auto val="1"/>
        <c:lblAlgn val="ctr"/>
        <c:lblOffset val="100"/>
        <c:tickLblSkip val="2"/>
        <c:noMultiLvlLbl val="0"/>
      </c:catAx>
      <c:valAx>
        <c:axId val="503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39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Emissions'!$B$26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Emissions'!$C$26:$AH$26</c:f>
              <c:numCache>
                <c:formatCode>General</c:formatCode>
                <c:ptCount val="32"/>
                <c:pt idx="0">
                  <c:v>48408352.039399996</c:v>
                </c:pt>
                <c:pt idx="1">
                  <c:v>47690165.509000003</c:v>
                </c:pt>
                <c:pt idx="2">
                  <c:v>45978190.886799999</c:v>
                </c:pt>
                <c:pt idx="3">
                  <c:v>44088049.831</c:v>
                </c:pt>
                <c:pt idx="4">
                  <c:v>42288906.645999998</c:v>
                </c:pt>
                <c:pt idx="5">
                  <c:v>40120241.347000003</c:v>
                </c:pt>
                <c:pt idx="6">
                  <c:v>37103250.868000001</c:v>
                </c:pt>
                <c:pt idx="7">
                  <c:v>34747658.781999998</c:v>
                </c:pt>
                <c:pt idx="8">
                  <c:v>32321497.420000002</c:v>
                </c:pt>
                <c:pt idx="9">
                  <c:v>29877579.756000001</c:v>
                </c:pt>
                <c:pt idx="10">
                  <c:v>27517009.567000002</c:v>
                </c:pt>
                <c:pt idx="11">
                  <c:v>25387345.401999999</c:v>
                </c:pt>
                <c:pt idx="12">
                  <c:v>23502321.829999998</c:v>
                </c:pt>
                <c:pt idx="13">
                  <c:v>21798451.960000001</c:v>
                </c:pt>
                <c:pt idx="14">
                  <c:v>20200194.136</c:v>
                </c:pt>
                <c:pt idx="15">
                  <c:v>18516631.546</c:v>
                </c:pt>
                <c:pt idx="16">
                  <c:v>17022982.085999999</c:v>
                </c:pt>
                <c:pt idx="17">
                  <c:v>15980575.995999999</c:v>
                </c:pt>
                <c:pt idx="18">
                  <c:v>14946477.236</c:v>
                </c:pt>
                <c:pt idx="19">
                  <c:v>13954198.386</c:v>
                </c:pt>
                <c:pt idx="20">
                  <c:v>13197954.495999999</c:v>
                </c:pt>
                <c:pt idx="21">
                  <c:v>12497394.976</c:v>
                </c:pt>
                <c:pt idx="22">
                  <c:v>11978389.636</c:v>
                </c:pt>
                <c:pt idx="23">
                  <c:v>11494855.135</c:v>
                </c:pt>
                <c:pt idx="24">
                  <c:v>11057429.006999999</c:v>
                </c:pt>
                <c:pt idx="25">
                  <c:v>10668632.698000001</c:v>
                </c:pt>
                <c:pt idx="26">
                  <c:v>10324727.795</c:v>
                </c:pt>
                <c:pt idx="27">
                  <c:v>10040319.456</c:v>
                </c:pt>
                <c:pt idx="28">
                  <c:v>9793774.868999999</c:v>
                </c:pt>
                <c:pt idx="29">
                  <c:v>9579292.5940000005</c:v>
                </c:pt>
                <c:pt idx="30">
                  <c:v>9389964.8099999987</c:v>
                </c:pt>
                <c:pt idx="31">
                  <c:v>9217614.5539999995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1-4C7B-A111-1D0C73CEB8E7}"/>
            </c:ext>
          </c:extLst>
        </c:ser>
        <c:ser>
          <c:idx val="1"/>
          <c:order val="1"/>
          <c:tx>
            <c:strRef>
              <c:f>'Total Emissions'!$B$24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Emissions'!$C$24:$AH$24</c:f>
              <c:numCache>
                <c:formatCode>General</c:formatCode>
                <c:ptCount val="32"/>
                <c:pt idx="0">
                  <c:v>20476927.013766222</c:v>
                </c:pt>
                <c:pt idx="1">
                  <c:v>20463532.243875049</c:v>
                </c:pt>
                <c:pt idx="2">
                  <c:v>20465960.90357998</c:v>
                </c:pt>
                <c:pt idx="3">
                  <c:v>20659887.133291531</c:v>
                </c:pt>
                <c:pt idx="4">
                  <c:v>20541910.301589999</c:v>
                </c:pt>
                <c:pt idx="5">
                  <c:v>20428826.261750001</c:v>
                </c:pt>
                <c:pt idx="6">
                  <c:v>18501913.342900001</c:v>
                </c:pt>
                <c:pt idx="7">
                  <c:v>17975813.562899999</c:v>
                </c:pt>
                <c:pt idx="8">
                  <c:v>17443070.122400001</c:v>
                </c:pt>
                <c:pt idx="9">
                  <c:v>16900999.4505</c:v>
                </c:pt>
                <c:pt idx="10">
                  <c:v>16338964.3792</c:v>
                </c:pt>
                <c:pt idx="11">
                  <c:v>15783305.141000001</c:v>
                </c:pt>
                <c:pt idx="12">
                  <c:v>15076534.491</c:v>
                </c:pt>
                <c:pt idx="13">
                  <c:v>14369522.452</c:v>
                </c:pt>
                <c:pt idx="14">
                  <c:v>13661580.662</c:v>
                </c:pt>
                <c:pt idx="15">
                  <c:v>12946731.710000001</c:v>
                </c:pt>
                <c:pt idx="16">
                  <c:v>12256842.055</c:v>
                </c:pt>
                <c:pt idx="17">
                  <c:v>11839524.380999999</c:v>
                </c:pt>
                <c:pt idx="18">
                  <c:v>11427186.988</c:v>
                </c:pt>
                <c:pt idx="19">
                  <c:v>11019582.347999999</c:v>
                </c:pt>
                <c:pt idx="20">
                  <c:v>10608024.975</c:v>
                </c:pt>
                <c:pt idx="21">
                  <c:v>10220837.619999999</c:v>
                </c:pt>
                <c:pt idx="22">
                  <c:v>9963754.3680000007</c:v>
                </c:pt>
                <c:pt idx="23">
                  <c:v>9717332.1439999994</c:v>
                </c:pt>
                <c:pt idx="24">
                  <c:v>9479374.091</c:v>
                </c:pt>
                <c:pt idx="25">
                  <c:v>9244991.6150000002</c:v>
                </c:pt>
                <c:pt idx="26">
                  <c:v>9039194.5539999995</c:v>
                </c:pt>
                <c:pt idx="27">
                  <c:v>8863842.2809999995</c:v>
                </c:pt>
                <c:pt idx="28">
                  <c:v>8694943.0439999998</c:v>
                </c:pt>
                <c:pt idx="29">
                  <c:v>8538551.1181462798</c:v>
                </c:pt>
                <c:pt idx="30">
                  <c:v>8403554.6259589996</c:v>
                </c:pt>
                <c:pt idx="31">
                  <c:v>8271176.23282756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41-4C7B-A111-1D0C73CEB8E7}"/>
            </c:ext>
          </c:extLst>
        </c:ser>
        <c:ser>
          <c:idx val="2"/>
          <c:order val="2"/>
          <c:tx>
            <c:strRef>
              <c:f>'Total Emissions'!$B$22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Emissions'!$C$22:$AH$22</c:f>
              <c:numCache>
                <c:formatCode>General</c:formatCode>
                <c:ptCount val="32"/>
                <c:pt idx="0">
                  <c:v>18990147.210269999</c:v>
                </c:pt>
                <c:pt idx="1">
                  <c:v>18990145.210269999</c:v>
                </c:pt>
                <c:pt idx="2">
                  <c:v>18990116.196369998</c:v>
                </c:pt>
                <c:pt idx="3">
                  <c:v>18990086.182569999</c:v>
                </c:pt>
                <c:pt idx="4">
                  <c:v>18970658.484859999</c:v>
                </c:pt>
                <c:pt idx="5">
                  <c:v>18934800.46195</c:v>
                </c:pt>
                <c:pt idx="6">
                  <c:v>10804823.150180001</c:v>
                </c:pt>
                <c:pt idx="7">
                  <c:v>10695532.25171</c:v>
                </c:pt>
                <c:pt idx="8">
                  <c:v>10588057.5283</c:v>
                </c:pt>
                <c:pt idx="9">
                  <c:v>10481978.3411</c:v>
                </c:pt>
                <c:pt idx="10">
                  <c:v>10375403.822699999</c:v>
                </c:pt>
                <c:pt idx="11">
                  <c:v>5508124.8882999998</c:v>
                </c:pt>
                <c:pt idx="12">
                  <c:v>5380230.0652999999</c:v>
                </c:pt>
                <c:pt idx="13">
                  <c:v>5250098.4638</c:v>
                </c:pt>
                <c:pt idx="14">
                  <c:v>5117025.7822000002</c:v>
                </c:pt>
                <c:pt idx="15">
                  <c:v>4978951.3660000004</c:v>
                </c:pt>
                <c:pt idx="16">
                  <c:v>4842865.6818000004</c:v>
                </c:pt>
                <c:pt idx="17">
                  <c:v>4752584.9325000001</c:v>
                </c:pt>
                <c:pt idx="18">
                  <c:v>4661783.6628999999</c:v>
                </c:pt>
                <c:pt idx="19">
                  <c:v>4570290.0096000005</c:v>
                </c:pt>
                <c:pt idx="20">
                  <c:v>4475485.0547000002</c:v>
                </c:pt>
                <c:pt idx="21">
                  <c:v>4384938.6335000005</c:v>
                </c:pt>
                <c:pt idx="22">
                  <c:v>4330743.0953000002</c:v>
                </c:pt>
                <c:pt idx="23">
                  <c:v>4279224.8728</c:v>
                </c:pt>
                <c:pt idx="24">
                  <c:v>4229860.5383000001</c:v>
                </c:pt>
                <c:pt idx="25">
                  <c:v>4181176.8171999999</c:v>
                </c:pt>
                <c:pt idx="26">
                  <c:v>2951138.5942000002</c:v>
                </c:pt>
                <c:pt idx="27">
                  <c:v>2910041.6874000002</c:v>
                </c:pt>
                <c:pt idx="28">
                  <c:v>2870236.2250000001</c:v>
                </c:pt>
                <c:pt idx="29">
                  <c:v>2833906.4107908299</c:v>
                </c:pt>
                <c:pt idx="30">
                  <c:v>2804460.9908111901</c:v>
                </c:pt>
                <c:pt idx="31">
                  <c:v>2775663.9537376999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41-4C7B-A111-1D0C73CEB8E7}"/>
            </c:ext>
          </c:extLst>
        </c:ser>
        <c:ser>
          <c:idx val="3"/>
          <c:order val="3"/>
          <c:tx>
            <c:strRef>
              <c:f>'Total Emissions'!$B$25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Emissions'!$C$25:$AH$25</c:f>
              <c:numCache>
                <c:formatCode>General</c:formatCode>
                <c:ptCount val="32"/>
                <c:pt idx="0">
                  <c:v>9744535.1999999993</c:v>
                </c:pt>
                <c:pt idx="1">
                  <c:v>9711503.4000000004</c:v>
                </c:pt>
                <c:pt idx="2">
                  <c:v>9646647.1999999993</c:v>
                </c:pt>
                <c:pt idx="3">
                  <c:v>9616108.1999999993</c:v>
                </c:pt>
                <c:pt idx="4">
                  <c:v>9436121.7708199993</c:v>
                </c:pt>
                <c:pt idx="5">
                  <c:v>9115503.6867200006</c:v>
                </c:pt>
                <c:pt idx="6">
                  <c:v>6010844.6080999998</c:v>
                </c:pt>
                <c:pt idx="7">
                  <c:v>5520953.1585999997</c:v>
                </c:pt>
                <c:pt idx="8">
                  <c:v>5007831.1814999999</c:v>
                </c:pt>
                <c:pt idx="9">
                  <c:v>4464442.3110999996</c:v>
                </c:pt>
                <c:pt idx="10">
                  <c:v>3880782.4994999999</c:v>
                </c:pt>
                <c:pt idx="11">
                  <c:v>3283636.2971000001</c:v>
                </c:pt>
                <c:pt idx="12">
                  <c:v>2746014.0597000001</c:v>
                </c:pt>
                <c:pt idx="13">
                  <c:v>2235561.2371</c:v>
                </c:pt>
                <c:pt idx="14">
                  <c:v>1775076.845</c:v>
                </c:pt>
                <c:pt idx="15">
                  <c:v>1375170.0989000001</c:v>
                </c:pt>
                <c:pt idx="16">
                  <c:v>1052167.8668</c:v>
                </c:pt>
                <c:pt idx="17">
                  <c:v>833980.61239999998</c:v>
                </c:pt>
                <c:pt idx="18">
                  <c:v>659179.1152</c:v>
                </c:pt>
                <c:pt idx="19">
                  <c:v>520863.61930000002</c:v>
                </c:pt>
                <c:pt idx="20">
                  <c:v>410965.71380000003</c:v>
                </c:pt>
                <c:pt idx="21">
                  <c:v>326234.95850000001</c:v>
                </c:pt>
                <c:pt idx="22">
                  <c:v>283537.41800000001</c:v>
                </c:pt>
                <c:pt idx="23">
                  <c:v>248927.04800000001</c:v>
                </c:pt>
                <c:pt idx="24">
                  <c:v>218494.06080000001</c:v>
                </c:pt>
                <c:pt idx="25">
                  <c:v>190334.8144</c:v>
                </c:pt>
                <c:pt idx="26">
                  <c:v>166175.2224</c:v>
                </c:pt>
                <c:pt idx="27">
                  <c:v>160061.69930000001</c:v>
                </c:pt>
                <c:pt idx="28">
                  <c:v>154643.9761</c:v>
                </c:pt>
                <c:pt idx="29">
                  <c:v>150562.27368261901</c:v>
                </c:pt>
                <c:pt idx="30">
                  <c:v>149367.03632569799</c:v>
                </c:pt>
                <c:pt idx="31">
                  <c:v>148154.050469312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41-4C7B-A111-1D0C73CEB8E7}"/>
            </c:ext>
          </c:extLst>
        </c:ser>
        <c:ser>
          <c:idx val="4"/>
          <c:order val="4"/>
          <c:tx>
            <c:strRef>
              <c:f>'Total Emissions'!$B$21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Emissions'!$C$21:$AH$21</c:f>
              <c:numCache>
                <c:formatCode>General</c:formatCode>
                <c:ptCount val="32"/>
                <c:pt idx="0">
                  <c:v>7899613.5607049996</c:v>
                </c:pt>
                <c:pt idx="1">
                  <c:v>7857007.1495960001</c:v>
                </c:pt>
                <c:pt idx="2">
                  <c:v>7904487.8838910004</c:v>
                </c:pt>
                <c:pt idx="3">
                  <c:v>7989641.3261799999</c:v>
                </c:pt>
                <c:pt idx="4">
                  <c:v>8027181.9911799999</c:v>
                </c:pt>
                <c:pt idx="5">
                  <c:v>7739175.6765299998</c:v>
                </c:pt>
                <c:pt idx="6">
                  <c:v>4795588.8798000002</c:v>
                </c:pt>
                <c:pt idx="7">
                  <c:v>4452110.3476</c:v>
                </c:pt>
                <c:pt idx="8">
                  <c:v>4101521.4182000002</c:v>
                </c:pt>
                <c:pt idx="9">
                  <c:v>3744815.3867000001</c:v>
                </c:pt>
                <c:pt idx="10">
                  <c:v>3279255.5827000001</c:v>
                </c:pt>
                <c:pt idx="11">
                  <c:v>2920011.6948000002</c:v>
                </c:pt>
                <c:pt idx="12">
                  <c:v>2588580.3303</c:v>
                </c:pt>
                <c:pt idx="13">
                  <c:v>2261973.2686000001</c:v>
                </c:pt>
                <c:pt idx="14">
                  <c:v>1940520.8615999999</c:v>
                </c:pt>
                <c:pt idx="15">
                  <c:v>1605300.0706</c:v>
                </c:pt>
                <c:pt idx="16">
                  <c:v>1347603.1459999999</c:v>
                </c:pt>
                <c:pt idx="17">
                  <c:v>1163005.338</c:v>
                </c:pt>
                <c:pt idx="18">
                  <c:v>983320.10099999991</c:v>
                </c:pt>
                <c:pt idx="19">
                  <c:v>809877.58700000006</c:v>
                </c:pt>
                <c:pt idx="20">
                  <c:v>636753.723</c:v>
                </c:pt>
                <c:pt idx="21">
                  <c:v>494834.40100000001</c:v>
                </c:pt>
                <c:pt idx="22">
                  <c:v>445115.52100000001</c:v>
                </c:pt>
                <c:pt idx="23">
                  <c:v>398658.70199999999</c:v>
                </c:pt>
                <c:pt idx="24">
                  <c:v>355106.37400000001</c:v>
                </c:pt>
                <c:pt idx="25">
                  <c:v>311748.24</c:v>
                </c:pt>
                <c:pt idx="26">
                  <c:v>282509.43</c:v>
                </c:pt>
                <c:pt idx="27">
                  <c:v>267841.30099999998</c:v>
                </c:pt>
                <c:pt idx="28">
                  <c:v>253934.99799999999</c:v>
                </c:pt>
                <c:pt idx="29">
                  <c:v>243973.43580949001</c:v>
                </c:pt>
                <c:pt idx="30">
                  <c:v>242497.85905063001</c:v>
                </c:pt>
                <c:pt idx="31">
                  <c:v>242015.49326545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41-4C7B-A111-1D0C73CEB8E7}"/>
            </c:ext>
          </c:extLst>
        </c:ser>
        <c:ser>
          <c:idx val="5"/>
          <c:order val="5"/>
          <c:tx>
            <c:strRef>
              <c:f>'Total Emissions'!$B$20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Emissions'!$C$20:$AH$20</c:f>
              <c:numCache>
                <c:formatCode>General</c:formatCode>
                <c:ptCount val="32"/>
                <c:pt idx="0">
                  <c:v>378717.85989999998</c:v>
                </c:pt>
                <c:pt idx="1">
                  <c:v>378717.85989999998</c:v>
                </c:pt>
                <c:pt idx="2">
                  <c:v>378717.85989999998</c:v>
                </c:pt>
                <c:pt idx="3">
                  <c:v>378717.85989999998</c:v>
                </c:pt>
                <c:pt idx="4">
                  <c:v>376081.97399999999</c:v>
                </c:pt>
                <c:pt idx="5">
                  <c:v>368094.52559999999</c:v>
                </c:pt>
                <c:pt idx="6">
                  <c:v>360067.82439999998</c:v>
                </c:pt>
                <c:pt idx="7">
                  <c:v>347452.84039999999</c:v>
                </c:pt>
                <c:pt idx="8">
                  <c:v>334321.17739999999</c:v>
                </c:pt>
                <c:pt idx="9">
                  <c:v>320552.2807</c:v>
                </c:pt>
                <c:pt idx="10">
                  <c:v>305502.12459999998</c:v>
                </c:pt>
                <c:pt idx="11">
                  <c:v>289560.7402</c:v>
                </c:pt>
                <c:pt idx="12">
                  <c:v>267485.8308</c:v>
                </c:pt>
                <c:pt idx="13">
                  <c:v>242683.80040000001</c:v>
                </c:pt>
                <c:pt idx="14">
                  <c:v>214742.74460000001</c:v>
                </c:pt>
                <c:pt idx="15">
                  <c:v>182673.85190000001</c:v>
                </c:pt>
                <c:pt idx="16">
                  <c:v>149073.50090000001</c:v>
                </c:pt>
                <c:pt idx="17">
                  <c:v>130998.6344</c:v>
                </c:pt>
                <c:pt idx="18">
                  <c:v>111572.6923</c:v>
                </c:pt>
                <c:pt idx="19">
                  <c:v>90695.944799999997</c:v>
                </c:pt>
                <c:pt idx="20">
                  <c:v>67197.000200000009</c:v>
                </c:pt>
                <c:pt idx="21">
                  <c:v>44339.943899999998</c:v>
                </c:pt>
                <c:pt idx="22">
                  <c:v>36660.257999999987</c:v>
                </c:pt>
                <c:pt idx="23">
                  <c:v>29540.388999999999</c:v>
                </c:pt>
                <c:pt idx="24">
                  <c:v>22789.426500000001</c:v>
                </c:pt>
                <c:pt idx="25">
                  <c:v>15748.9121</c:v>
                </c:pt>
                <c:pt idx="26">
                  <c:v>12420.943600000001</c:v>
                </c:pt>
                <c:pt idx="27">
                  <c:v>7934.8977000000004</c:v>
                </c:pt>
                <c:pt idx="28">
                  <c:v>3585.5434</c:v>
                </c:pt>
                <c:pt idx="29">
                  <c:v>498.15882667400001</c:v>
                </c:pt>
                <c:pt idx="30">
                  <c:v>498.15882667400001</c:v>
                </c:pt>
                <c:pt idx="31">
                  <c:v>498.15882667400001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41-4C7B-A111-1D0C73CEB8E7}"/>
            </c:ext>
          </c:extLst>
        </c:ser>
        <c:ser>
          <c:idx val="6"/>
          <c:order val="6"/>
          <c:tx>
            <c:strRef>
              <c:f>'Total Emissions'!$B$23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Emissions'!$C$23:$AH$23</c:f>
              <c:numCache>
                <c:formatCode>General</c:formatCode>
                <c:ptCount val="32"/>
                <c:pt idx="0">
                  <c:v>221100.7</c:v>
                </c:pt>
                <c:pt idx="1">
                  <c:v>221117.6</c:v>
                </c:pt>
                <c:pt idx="2">
                  <c:v>221611.4</c:v>
                </c:pt>
                <c:pt idx="3">
                  <c:v>221939.6</c:v>
                </c:pt>
                <c:pt idx="4">
                  <c:v>220510</c:v>
                </c:pt>
                <c:pt idx="5">
                  <c:v>215403.2</c:v>
                </c:pt>
                <c:pt idx="6">
                  <c:v>210438.1</c:v>
                </c:pt>
                <c:pt idx="7">
                  <c:v>204526</c:v>
                </c:pt>
                <c:pt idx="8">
                  <c:v>198559.1</c:v>
                </c:pt>
                <c:pt idx="9">
                  <c:v>192475.2</c:v>
                </c:pt>
                <c:pt idx="10">
                  <c:v>185073.7</c:v>
                </c:pt>
                <c:pt idx="11">
                  <c:v>130011.2</c:v>
                </c:pt>
                <c:pt idx="12">
                  <c:v>121885.4</c:v>
                </c:pt>
                <c:pt idx="13">
                  <c:v>114077</c:v>
                </c:pt>
                <c:pt idx="14">
                  <c:v>106754.8</c:v>
                </c:pt>
                <c:pt idx="15">
                  <c:v>99743.6</c:v>
                </c:pt>
                <c:pt idx="16">
                  <c:v>94352.27</c:v>
                </c:pt>
                <c:pt idx="17">
                  <c:v>90164.82</c:v>
                </c:pt>
                <c:pt idx="18">
                  <c:v>86362.35</c:v>
                </c:pt>
                <c:pt idx="19">
                  <c:v>82894.98</c:v>
                </c:pt>
                <c:pt idx="20">
                  <c:v>79528.56</c:v>
                </c:pt>
                <c:pt idx="21">
                  <c:v>76840.66</c:v>
                </c:pt>
                <c:pt idx="22">
                  <c:v>75202.179999999993</c:v>
                </c:pt>
                <c:pt idx="23">
                  <c:v>73725.25</c:v>
                </c:pt>
                <c:pt idx="24">
                  <c:v>72364.45</c:v>
                </c:pt>
                <c:pt idx="25">
                  <c:v>71025.98</c:v>
                </c:pt>
                <c:pt idx="26">
                  <c:v>58097.120000000003</c:v>
                </c:pt>
                <c:pt idx="27">
                  <c:v>57131.9</c:v>
                </c:pt>
                <c:pt idx="28">
                  <c:v>56204.66</c:v>
                </c:pt>
                <c:pt idx="29">
                  <c:v>55303.54</c:v>
                </c:pt>
                <c:pt idx="30">
                  <c:v>54246.71</c:v>
                </c:pt>
                <c:pt idx="31">
                  <c:v>53563.99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41-4C7B-A111-1D0C73CEB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40001"/>
        <c:axId val="50040002"/>
      </c:areaChart>
      <c:catAx>
        <c:axId val="500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40002"/>
        <c:crosses val="autoZero"/>
        <c:auto val="1"/>
        <c:lblAlgn val="ctr"/>
        <c:lblOffset val="100"/>
        <c:tickLblSkip val="2"/>
        <c:noMultiLvlLbl val="0"/>
      </c:catAx>
      <c:valAx>
        <c:axId val="500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4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Energy'!$B$50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Energy'!$C$50,'Total Energy'!$AH$50)</c:f>
              <c:numCache>
                <c:formatCode>General</c:formatCode>
                <c:ptCount val="2"/>
                <c:pt idx="0">
                  <c:v>653072660.62</c:v>
                </c:pt>
                <c:pt idx="1">
                  <c:v>491383173.31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E-40CF-929B-876B7B347F68}"/>
            </c:ext>
          </c:extLst>
        </c:ser>
        <c:ser>
          <c:idx val="1"/>
          <c:order val="1"/>
          <c:tx>
            <c:strRef>
              <c:f>'Total Energy'!$B$57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Energy'!$C$57,'Total Energy'!$AH$57)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184809207.74000001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E-40CF-929B-876B7B347F68}"/>
            </c:ext>
          </c:extLst>
        </c:ser>
        <c:ser>
          <c:idx val="2"/>
          <c:order val="2"/>
          <c:tx>
            <c:strRef>
              <c:f>'Total Energy'!$B$51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Energy'!$C$51,'Total Energy'!$AH$51)</c:f>
              <c:numCache>
                <c:formatCode>General</c:formatCode>
                <c:ptCount val="2"/>
                <c:pt idx="0">
                  <c:v>452108148.43599999</c:v>
                </c:pt>
                <c:pt idx="1">
                  <c:v>346306744.30199999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E-40CF-929B-876B7B347F68}"/>
            </c:ext>
          </c:extLst>
        </c:ser>
        <c:ser>
          <c:idx val="3"/>
          <c:order val="3"/>
          <c:tx>
            <c:strRef>
              <c:f>'Total Energy'!$B$56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Energy'!$C$56,'Total Energy'!$AH$56)</c:f>
              <c:numCache>
                <c:formatCode>General</c:formatCode>
                <c:ptCount val="2"/>
                <c:pt idx="0">
                  <c:v>228596226.74200001</c:v>
                </c:pt>
                <c:pt idx="1">
                  <c:v>89132596.664229989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E-40CF-929B-876B7B347F68}"/>
            </c:ext>
          </c:extLst>
        </c:ser>
        <c:ser>
          <c:idx val="4"/>
          <c:order val="4"/>
          <c:tx>
            <c:strRef>
              <c:f>'Total Energy'!$B$54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Energy'!$C$54,'Total Energy'!$AH$54)</c:f>
              <c:numCache>
                <c:formatCode>General</c:formatCode>
                <c:ptCount val="2"/>
                <c:pt idx="0">
                  <c:v>110616717.56999999</c:v>
                </c:pt>
                <c:pt idx="1">
                  <c:v>78676752.5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E-40CF-929B-876B7B347F68}"/>
            </c:ext>
          </c:extLst>
        </c:ser>
        <c:ser>
          <c:idx val="5"/>
          <c:order val="5"/>
          <c:tx>
            <c:strRef>
              <c:f>'Total Energy'!$B$58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Energy'!$C$58,'Total Energy'!$AH$58)</c:f>
              <c:numCache>
                <c:formatCode>General</c:formatCode>
                <c:ptCount val="2"/>
                <c:pt idx="0">
                  <c:v>71613249.542799994</c:v>
                </c:pt>
                <c:pt idx="1">
                  <c:v>40129756.109399997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EE-40CF-929B-876B7B347F68}"/>
            </c:ext>
          </c:extLst>
        </c:ser>
        <c:ser>
          <c:idx val="6"/>
          <c:order val="6"/>
          <c:tx>
            <c:strRef>
              <c:f>'Total Energy'!$B$52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Energy'!$C$52,'Total Energy'!$AH$52)</c:f>
              <c:numCache>
                <c:formatCode>General</c:formatCode>
                <c:ptCount val="2"/>
                <c:pt idx="0">
                  <c:v>47932011.942000002</c:v>
                </c:pt>
                <c:pt idx="1">
                  <c:v>29447140.600000001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EE-40CF-929B-876B7B347F68}"/>
            </c:ext>
          </c:extLst>
        </c:ser>
        <c:ser>
          <c:idx val="7"/>
          <c:order val="7"/>
          <c:tx>
            <c:strRef>
              <c:f>'Total Energy'!$B$53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Energy'!$C$53,'Total Energy'!$AH$53)</c:f>
              <c:numCache>
                <c:formatCode>General</c:formatCode>
                <c:ptCount val="2"/>
                <c:pt idx="0">
                  <c:v>25078806.98</c:v>
                </c:pt>
                <c:pt idx="1">
                  <c:v>19247749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EE-40CF-929B-876B7B347F68}"/>
            </c:ext>
          </c:extLst>
        </c:ser>
        <c:ser>
          <c:idx val="8"/>
          <c:order val="8"/>
          <c:tx>
            <c:strRef>
              <c:f>'Total Energy'!$B$55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Energy'!$C$55,'Total Energy'!$AH$55)</c:f>
              <c:numCache>
                <c:formatCode>General</c:formatCode>
                <c:ptCount val="2"/>
                <c:pt idx="0">
                  <c:v>11701098.921</c:v>
                </c:pt>
                <c:pt idx="1">
                  <c:v>9552670.5690000001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EE-40CF-929B-876B7B34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00001"/>
        <c:axId val="50400002"/>
      </c:barChart>
      <c:catAx>
        <c:axId val="504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00002"/>
        <c:crosses val="autoZero"/>
        <c:auto val="1"/>
        <c:lblAlgn val="ctr"/>
        <c:lblOffset val="100"/>
        <c:noMultiLvlLbl val="0"/>
      </c:catAx>
      <c:valAx>
        <c:axId val="504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0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Energy'!$B$60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Energy'!$C$60:$AH$60</c:f>
              <c:numCache>
                <c:formatCode>General</c:formatCode>
                <c:ptCount val="32"/>
                <c:pt idx="0">
                  <c:v>653072660.62</c:v>
                </c:pt>
                <c:pt idx="1">
                  <c:v>651789723.70000005</c:v>
                </c:pt>
                <c:pt idx="2">
                  <c:v>651789722.59000003</c:v>
                </c:pt>
                <c:pt idx="3">
                  <c:v>651789722.59000003</c:v>
                </c:pt>
                <c:pt idx="4">
                  <c:v>651789707.84150004</c:v>
                </c:pt>
                <c:pt idx="5">
                  <c:v>651789710.99800003</c:v>
                </c:pt>
                <c:pt idx="6">
                  <c:v>607675670.33000004</c:v>
                </c:pt>
                <c:pt idx="7">
                  <c:v>607675671.43000007</c:v>
                </c:pt>
                <c:pt idx="8">
                  <c:v>607675670.63999999</c:v>
                </c:pt>
                <c:pt idx="9">
                  <c:v>607675672.25</c:v>
                </c:pt>
                <c:pt idx="10">
                  <c:v>607675671.29999995</c:v>
                </c:pt>
                <c:pt idx="11">
                  <c:v>525202781.55000001</c:v>
                </c:pt>
                <c:pt idx="12">
                  <c:v>525202782.69</c:v>
                </c:pt>
                <c:pt idx="13">
                  <c:v>525202782.63</c:v>
                </c:pt>
                <c:pt idx="14">
                  <c:v>525202792.67000002</c:v>
                </c:pt>
                <c:pt idx="15">
                  <c:v>525202782.50999999</c:v>
                </c:pt>
                <c:pt idx="16">
                  <c:v>525202792.55000001</c:v>
                </c:pt>
                <c:pt idx="17">
                  <c:v>525202792.64999998</c:v>
                </c:pt>
                <c:pt idx="18">
                  <c:v>525202782.53899997</c:v>
                </c:pt>
                <c:pt idx="19">
                  <c:v>525202782.53899997</c:v>
                </c:pt>
                <c:pt idx="20">
                  <c:v>525202783.52899998</c:v>
                </c:pt>
                <c:pt idx="21">
                  <c:v>525202782.57999998</c:v>
                </c:pt>
                <c:pt idx="22">
                  <c:v>525202792.67000002</c:v>
                </c:pt>
                <c:pt idx="23">
                  <c:v>525202783.25999999</c:v>
                </c:pt>
                <c:pt idx="24">
                  <c:v>525202783.26899999</c:v>
                </c:pt>
                <c:pt idx="25">
                  <c:v>525202782.329</c:v>
                </c:pt>
                <c:pt idx="26">
                  <c:v>504584551.38</c:v>
                </c:pt>
                <c:pt idx="27">
                  <c:v>504584550.921</c:v>
                </c:pt>
                <c:pt idx="28">
                  <c:v>504584560.12099999</c:v>
                </c:pt>
                <c:pt idx="29">
                  <c:v>504584562.92803973</c:v>
                </c:pt>
                <c:pt idx="30">
                  <c:v>504584550.71803981</c:v>
                </c:pt>
                <c:pt idx="31">
                  <c:v>504584550.71803981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4-4EAD-A6E5-DB1489DF78C0}"/>
            </c:ext>
          </c:extLst>
        </c:ser>
        <c:ser>
          <c:idx val="1"/>
          <c:order val="1"/>
          <c:tx>
            <c:strRef>
              <c:f>'Total Energy'!$B$67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Energy'!$C$67:$AH$67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581576074.03999996</c:v>
                </c:pt>
                <c:pt idx="2">
                  <c:v>568852497.02999997</c:v>
                </c:pt>
                <c:pt idx="3">
                  <c:v>552869843.84000003</c:v>
                </c:pt>
                <c:pt idx="4">
                  <c:v>537901288.13999999</c:v>
                </c:pt>
                <c:pt idx="5">
                  <c:v>517183600.44</c:v>
                </c:pt>
                <c:pt idx="6">
                  <c:v>485260075.83999997</c:v>
                </c:pt>
                <c:pt idx="7">
                  <c:v>461167333.83999997</c:v>
                </c:pt>
                <c:pt idx="8">
                  <c:v>435711945.83999997</c:v>
                </c:pt>
                <c:pt idx="9">
                  <c:v>409809891.83999997</c:v>
                </c:pt>
                <c:pt idx="10">
                  <c:v>384973084.83999997</c:v>
                </c:pt>
                <c:pt idx="11">
                  <c:v>363516151.83999997</c:v>
                </c:pt>
                <c:pt idx="12">
                  <c:v>344915845.83999997</c:v>
                </c:pt>
                <c:pt idx="13">
                  <c:v>328662512.83999997</c:v>
                </c:pt>
                <c:pt idx="14">
                  <c:v>313644193.83999997</c:v>
                </c:pt>
                <c:pt idx="15">
                  <c:v>296863579.83999997</c:v>
                </c:pt>
                <c:pt idx="16">
                  <c:v>282627639.83999997</c:v>
                </c:pt>
                <c:pt idx="17">
                  <c:v>272337219.83999997</c:v>
                </c:pt>
                <c:pt idx="18">
                  <c:v>261941869.84</c:v>
                </c:pt>
                <c:pt idx="19">
                  <c:v>251902175.84</c:v>
                </c:pt>
                <c:pt idx="20">
                  <c:v>242574276.84</c:v>
                </c:pt>
                <c:pt idx="21">
                  <c:v>234070224.84</c:v>
                </c:pt>
                <c:pt idx="22">
                  <c:v>228185213.84</c:v>
                </c:pt>
                <c:pt idx="23">
                  <c:v>222735087.84</c:v>
                </c:pt>
                <c:pt idx="24">
                  <c:v>217860536.84</c:v>
                </c:pt>
                <c:pt idx="25">
                  <c:v>213617179.84</c:v>
                </c:pt>
                <c:pt idx="26">
                  <c:v>209981367.84</c:v>
                </c:pt>
                <c:pt idx="27">
                  <c:v>206937443.84</c:v>
                </c:pt>
                <c:pt idx="28">
                  <c:v>204424189.84</c:v>
                </c:pt>
                <c:pt idx="29">
                  <c:v>202372777.84</c:v>
                </c:pt>
                <c:pt idx="30">
                  <c:v>200688262.03999999</c:v>
                </c:pt>
                <c:pt idx="31">
                  <c:v>199239710.03999999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54-4EAD-A6E5-DB1489DF78C0}"/>
            </c:ext>
          </c:extLst>
        </c:ser>
        <c:ser>
          <c:idx val="2"/>
          <c:order val="2"/>
          <c:tx>
            <c:strRef>
              <c:f>'Total Energy'!$B$61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Energy'!$C$61:$AH$61</c:f>
              <c:numCache>
                <c:formatCode>General</c:formatCode>
                <c:ptCount val="32"/>
                <c:pt idx="0">
                  <c:v>452108148.43599999</c:v>
                </c:pt>
                <c:pt idx="1">
                  <c:v>452108144.05599999</c:v>
                </c:pt>
                <c:pt idx="2">
                  <c:v>452108135.16060001</c:v>
                </c:pt>
                <c:pt idx="3">
                  <c:v>457876078.00599998</c:v>
                </c:pt>
                <c:pt idx="4">
                  <c:v>463057227.84299999</c:v>
                </c:pt>
                <c:pt idx="5">
                  <c:v>470286318.97500002</c:v>
                </c:pt>
                <c:pt idx="6">
                  <c:v>471169080.44300002</c:v>
                </c:pt>
                <c:pt idx="7">
                  <c:v>472106251.93599999</c:v>
                </c:pt>
                <c:pt idx="8">
                  <c:v>472872580.85600001</c:v>
                </c:pt>
                <c:pt idx="9">
                  <c:v>473486023.98299998</c:v>
                </c:pt>
                <c:pt idx="10">
                  <c:v>473816128.45700002</c:v>
                </c:pt>
                <c:pt idx="11">
                  <c:v>474044917.65799999</c:v>
                </c:pt>
                <c:pt idx="12">
                  <c:v>476658006.454</c:v>
                </c:pt>
                <c:pt idx="13">
                  <c:v>479031997.87099999</c:v>
                </c:pt>
                <c:pt idx="14">
                  <c:v>481207021.05900002</c:v>
                </c:pt>
                <c:pt idx="15">
                  <c:v>483163914.63099998</c:v>
                </c:pt>
                <c:pt idx="16">
                  <c:v>485211862.49400002</c:v>
                </c:pt>
                <c:pt idx="17">
                  <c:v>482802929.00199997</c:v>
                </c:pt>
                <c:pt idx="18">
                  <c:v>480552013.26899999</c:v>
                </c:pt>
                <c:pt idx="19">
                  <c:v>478443174.352</c:v>
                </c:pt>
                <c:pt idx="20">
                  <c:v>476418175.46799999</c:v>
                </c:pt>
                <c:pt idx="21">
                  <c:v>474606124.08600003</c:v>
                </c:pt>
                <c:pt idx="22">
                  <c:v>472801013.292</c:v>
                </c:pt>
                <c:pt idx="23">
                  <c:v>471083225.72600001</c:v>
                </c:pt>
                <c:pt idx="24">
                  <c:v>469438987.62900001</c:v>
                </c:pt>
                <c:pt idx="25">
                  <c:v>467843064.63499999</c:v>
                </c:pt>
                <c:pt idx="26">
                  <c:v>466399957.87400001</c:v>
                </c:pt>
                <c:pt idx="27">
                  <c:v>464784627.96499997</c:v>
                </c:pt>
                <c:pt idx="28">
                  <c:v>463214064.67500001</c:v>
                </c:pt>
                <c:pt idx="29">
                  <c:v>461684028.22084951</c:v>
                </c:pt>
                <c:pt idx="30">
                  <c:v>460150785.24749333</c:v>
                </c:pt>
                <c:pt idx="31">
                  <c:v>458735309.11296862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54-4EAD-A6E5-DB1489DF78C0}"/>
            </c:ext>
          </c:extLst>
        </c:ser>
        <c:ser>
          <c:idx val="3"/>
          <c:order val="3"/>
          <c:tx>
            <c:strRef>
              <c:f>'Total Energy'!$B$66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Energy'!$C$66:$AH$66</c:f>
              <c:numCache>
                <c:formatCode>General</c:formatCode>
                <c:ptCount val="32"/>
                <c:pt idx="0">
                  <c:v>228596226.74200001</c:v>
                </c:pt>
                <c:pt idx="1">
                  <c:v>228057436.59200001</c:v>
                </c:pt>
                <c:pt idx="2">
                  <c:v>227070613.09099999</c:v>
                </c:pt>
                <c:pt idx="3">
                  <c:v>226645157.134</c:v>
                </c:pt>
                <c:pt idx="4">
                  <c:v>225151966.43928999</c:v>
                </c:pt>
                <c:pt idx="5">
                  <c:v>218784712.06799999</c:v>
                </c:pt>
                <c:pt idx="6">
                  <c:v>215022558.965</c:v>
                </c:pt>
                <c:pt idx="7">
                  <c:v>208746932.75400001</c:v>
                </c:pt>
                <c:pt idx="8">
                  <c:v>202256395.12</c:v>
                </c:pt>
                <c:pt idx="9">
                  <c:v>195566668.171</c:v>
                </c:pt>
                <c:pt idx="10">
                  <c:v>186733949.558</c:v>
                </c:pt>
                <c:pt idx="11">
                  <c:v>180295511.067</c:v>
                </c:pt>
                <c:pt idx="12">
                  <c:v>172030088.53569999</c:v>
                </c:pt>
                <c:pt idx="13">
                  <c:v>163566882.8714</c:v>
                </c:pt>
                <c:pt idx="14">
                  <c:v>154810928.9603</c:v>
                </c:pt>
                <c:pt idx="15">
                  <c:v>144833897.55598</c:v>
                </c:pt>
                <c:pt idx="16">
                  <c:v>137303023.02522001</c:v>
                </c:pt>
                <c:pt idx="17">
                  <c:v>128497704.22091</c:v>
                </c:pt>
                <c:pt idx="18">
                  <c:v>119405075.89478999</c:v>
                </c:pt>
                <c:pt idx="19">
                  <c:v>110106030.22517</c:v>
                </c:pt>
                <c:pt idx="20">
                  <c:v>100363438.50560001</c:v>
                </c:pt>
                <c:pt idx="21">
                  <c:v>92131989.821369991</c:v>
                </c:pt>
                <c:pt idx="22">
                  <c:v>89748901.621750012</c:v>
                </c:pt>
                <c:pt idx="23">
                  <c:v>88206296.236570001</c:v>
                </c:pt>
                <c:pt idx="24">
                  <c:v>86611747.13786</c:v>
                </c:pt>
                <c:pt idx="25">
                  <c:v>84674079.048069999</c:v>
                </c:pt>
                <c:pt idx="26">
                  <c:v>84122571.588160008</c:v>
                </c:pt>
                <c:pt idx="27">
                  <c:v>82969953.935639992</c:v>
                </c:pt>
                <c:pt idx="28">
                  <c:v>81847442.563419998</c:v>
                </c:pt>
                <c:pt idx="29">
                  <c:v>80754497.653436676</c:v>
                </c:pt>
                <c:pt idx="30">
                  <c:v>79184925.018649012</c:v>
                </c:pt>
                <c:pt idx="31">
                  <c:v>78884651.974671483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54-4EAD-A6E5-DB1489DF78C0}"/>
            </c:ext>
          </c:extLst>
        </c:ser>
        <c:ser>
          <c:idx val="4"/>
          <c:order val="4"/>
          <c:tx>
            <c:strRef>
              <c:f>'Total Energy'!$B$64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Energy'!$C$64:$AH$64</c:f>
              <c:numCache>
                <c:formatCode>General</c:formatCode>
                <c:ptCount val="32"/>
                <c:pt idx="0">
                  <c:v>110616717.56999999</c:v>
                </c:pt>
                <c:pt idx="1">
                  <c:v>110804355.98999999</c:v>
                </c:pt>
                <c:pt idx="2">
                  <c:v>111546898.59</c:v>
                </c:pt>
                <c:pt idx="3">
                  <c:v>112395791.62</c:v>
                </c:pt>
                <c:pt idx="4">
                  <c:v>113015538.79700001</c:v>
                </c:pt>
                <c:pt idx="5">
                  <c:v>113295454.26000001</c:v>
                </c:pt>
                <c:pt idx="6">
                  <c:v>113095485.48</c:v>
                </c:pt>
                <c:pt idx="7">
                  <c:v>112286691.95</c:v>
                </c:pt>
                <c:pt idx="8">
                  <c:v>111357310.29000001</c:v>
                </c:pt>
                <c:pt idx="9">
                  <c:v>110308100.13</c:v>
                </c:pt>
                <c:pt idx="10">
                  <c:v>109120922.18000001</c:v>
                </c:pt>
                <c:pt idx="11">
                  <c:v>107457470.23</c:v>
                </c:pt>
                <c:pt idx="12">
                  <c:v>105566453.09</c:v>
                </c:pt>
                <c:pt idx="13">
                  <c:v>103514609.08</c:v>
                </c:pt>
                <c:pt idx="14">
                  <c:v>101264277.43000001</c:v>
                </c:pt>
                <c:pt idx="15">
                  <c:v>98802189.929999992</c:v>
                </c:pt>
                <c:pt idx="16">
                  <c:v>96276703.829999998</c:v>
                </c:pt>
                <c:pt idx="17">
                  <c:v>93463917.040000007</c:v>
                </c:pt>
                <c:pt idx="18">
                  <c:v>90379156.329999998</c:v>
                </c:pt>
                <c:pt idx="19">
                  <c:v>86950580.090000004</c:v>
                </c:pt>
                <c:pt idx="20">
                  <c:v>83186071.120000005</c:v>
                </c:pt>
                <c:pt idx="21">
                  <c:v>79004350.579999998</c:v>
                </c:pt>
                <c:pt idx="22">
                  <c:v>78505802.829999998</c:v>
                </c:pt>
                <c:pt idx="23">
                  <c:v>78244963.640000001</c:v>
                </c:pt>
                <c:pt idx="24">
                  <c:v>78142734.840000004</c:v>
                </c:pt>
                <c:pt idx="25">
                  <c:v>78208946.650000006</c:v>
                </c:pt>
                <c:pt idx="26">
                  <c:v>78277542.63000001</c:v>
                </c:pt>
                <c:pt idx="27">
                  <c:v>78351028.790000007</c:v>
                </c:pt>
                <c:pt idx="28">
                  <c:v>78424939.924999997</c:v>
                </c:pt>
                <c:pt idx="29">
                  <c:v>78497742.996630222</c:v>
                </c:pt>
                <c:pt idx="30">
                  <c:v>78579072.646556869</c:v>
                </c:pt>
                <c:pt idx="31">
                  <c:v>78665027.556484371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54-4EAD-A6E5-DB1489DF78C0}"/>
            </c:ext>
          </c:extLst>
        </c:ser>
        <c:ser>
          <c:idx val="5"/>
          <c:order val="5"/>
          <c:tx>
            <c:strRef>
              <c:f>'Total Energy'!$B$68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Energy'!$C$68:$AH$68</c:f>
              <c:numCache>
                <c:formatCode>General</c:formatCode>
                <c:ptCount val="32"/>
                <c:pt idx="0">
                  <c:v>71613249.542799994</c:v>
                </c:pt>
                <c:pt idx="1">
                  <c:v>71778356.482800007</c:v>
                </c:pt>
                <c:pt idx="2">
                  <c:v>71917406.232800007</c:v>
                </c:pt>
                <c:pt idx="3">
                  <c:v>72129719.022799999</c:v>
                </c:pt>
                <c:pt idx="4">
                  <c:v>72039866.675500005</c:v>
                </c:pt>
                <c:pt idx="5">
                  <c:v>71692607.746800005</c:v>
                </c:pt>
                <c:pt idx="6">
                  <c:v>71085134.138799995</c:v>
                </c:pt>
                <c:pt idx="7">
                  <c:v>70168627.653799996</c:v>
                </c:pt>
                <c:pt idx="8">
                  <c:v>69040589.528799996</c:v>
                </c:pt>
                <c:pt idx="9">
                  <c:v>67681539.358799994</c:v>
                </c:pt>
                <c:pt idx="10">
                  <c:v>65726496.1448</c:v>
                </c:pt>
                <c:pt idx="11">
                  <c:v>63475829.049800001</c:v>
                </c:pt>
                <c:pt idx="12">
                  <c:v>61055551.251800001</c:v>
                </c:pt>
                <c:pt idx="13">
                  <c:v>58667424.400799997</c:v>
                </c:pt>
                <c:pt idx="14">
                  <c:v>56393163.172799997</c:v>
                </c:pt>
                <c:pt idx="15">
                  <c:v>54279781.232799999</c:v>
                </c:pt>
                <c:pt idx="16">
                  <c:v>52379192.069799997</c:v>
                </c:pt>
                <c:pt idx="17">
                  <c:v>50636971.037799999</c:v>
                </c:pt>
                <c:pt idx="18">
                  <c:v>49030517.951800004</c:v>
                </c:pt>
                <c:pt idx="19">
                  <c:v>47528414.131800003</c:v>
                </c:pt>
                <c:pt idx="20">
                  <c:v>46115499.5638</c:v>
                </c:pt>
                <c:pt idx="21">
                  <c:v>44774503.882799998</c:v>
                </c:pt>
                <c:pt idx="22">
                  <c:v>44203117.573799998</c:v>
                </c:pt>
                <c:pt idx="23">
                  <c:v>43799055.760799997</c:v>
                </c:pt>
                <c:pt idx="24">
                  <c:v>43563884.721799999</c:v>
                </c:pt>
                <c:pt idx="25">
                  <c:v>43465101.612800002</c:v>
                </c:pt>
                <c:pt idx="26">
                  <c:v>43437765.624799997</c:v>
                </c:pt>
                <c:pt idx="27">
                  <c:v>43438531.103799999</c:v>
                </c:pt>
                <c:pt idx="28">
                  <c:v>43462865.404799998</c:v>
                </c:pt>
                <c:pt idx="29">
                  <c:v>43494227.947748996</c:v>
                </c:pt>
                <c:pt idx="30">
                  <c:v>43525647.878085747</c:v>
                </c:pt>
                <c:pt idx="31">
                  <c:v>43554874.492983557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54-4EAD-A6E5-DB1489DF78C0}"/>
            </c:ext>
          </c:extLst>
        </c:ser>
        <c:ser>
          <c:idx val="6"/>
          <c:order val="6"/>
          <c:tx>
            <c:strRef>
              <c:f>'Total Energy'!$B$62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Energy'!$C$62:$AH$62</c:f>
              <c:numCache>
                <c:formatCode>General</c:formatCode>
                <c:ptCount val="32"/>
                <c:pt idx="0">
                  <c:v>47932011.942000002</c:v>
                </c:pt>
                <c:pt idx="1">
                  <c:v>47837688.825999998</c:v>
                </c:pt>
                <c:pt idx="2">
                  <c:v>48069418.412</c:v>
                </c:pt>
                <c:pt idx="3">
                  <c:v>48304901.685999997</c:v>
                </c:pt>
                <c:pt idx="4">
                  <c:v>48467428.731999993</c:v>
                </c:pt>
                <c:pt idx="5">
                  <c:v>48465251.946999997</c:v>
                </c:pt>
                <c:pt idx="6">
                  <c:v>48232276.167999998</c:v>
                </c:pt>
                <c:pt idx="7">
                  <c:v>47746167.718999997</c:v>
                </c:pt>
                <c:pt idx="8">
                  <c:v>47212349.174999997</c:v>
                </c:pt>
                <c:pt idx="9">
                  <c:v>46633108.933000013</c:v>
                </c:pt>
                <c:pt idx="10">
                  <c:v>46000743.359999999</c:v>
                </c:pt>
                <c:pt idx="11">
                  <c:v>45160578.567000002</c:v>
                </c:pt>
                <c:pt idx="12">
                  <c:v>44237300.303999998</c:v>
                </c:pt>
                <c:pt idx="13">
                  <c:v>43251106.513999999</c:v>
                </c:pt>
                <c:pt idx="14">
                  <c:v>42185264.968999997</c:v>
                </c:pt>
                <c:pt idx="15">
                  <c:v>41032517.038000003</c:v>
                </c:pt>
                <c:pt idx="16">
                  <c:v>39819910.818999998</c:v>
                </c:pt>
                <c:pt idx="17">
                  <c:v>38489598.566</c:v>
                </c:pt>
                <c:pt idx="18">
                  <c:v>37028364.914999999</c:v>
                </c:pt>
                <c:pt idx="19">
                  <c:v>35393061.876000002</c:v>
                </c:pt>
                <c:pt idx="20">
                  <c:v>33575133.572999999</c:v>
                </c:pt>
                <c:pt idx="21">
                  <c:v>31541013.116</c:v>
                </c:pt>
                <c:pt idx="22">
                  <c:v>31134069.686999999</c:v>
                </c:pt>
                <c:pt idx="23">
                  <c:v>30794842.298</c:v>
                </c:pt>
                <c:pt idx="24">
                  <c:v>30539882.978999998</c:v>
                </c:pt>
                <c:pt idx="25">
                  <c:v>30374846.364</c:v>
                </c:pt>
                <c:pt idx="26">
                  <c:v>30213468.910999998</c:v>
                </c:pt>
                <c:pt idx="27">
                  <c:v>30058266.383000001</c:v>
                </c:pt>
                <c:pt idx="28">
                  <c:v>29903976.070999999</c:v>
                </c:pt>
                <c:pt idx="29">
                  <c:v>29750055.120999999</c:v>
                </c:pt>
                <c:pt idx="30">
                  <c:v>29597926.539000001</c:v>
                </c:pt>
                <c:pt idx="31">
                  <c:v>29447141.291999999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54-4EAD-A6E5-DB1489DF78C0}"/>
            </c:ext>
          </c:extLst>
        </c:ser>
        <c:ser>
          <c:idx val="7"/>
          <c:order val="7"/>
          <c:tx>
            <c:strRef>
              <c:f>'Total Energy'!$B$63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Energy'!$C$63:$AH$63</c:f>
              <c:numCache>
                <c:formatCode>General</c:formatCode>
                <c:ptCount val="32"/>
                <c:pt idx="0">
                  <c:v>25078806.98</c:v>
                </c:pt>
                <c:pt idx="1">
                  <c:v>25207328.789999999</c:v>
                </c:pt>
                <c:pt idx="2">
                  <c:v>25276348.300000001</c:v>
                </c:pt>
                <c:pt idx="3">
                  <c:v>25415838.390000001</c:v>
                </c:pt>
                <c:pt idx="4">
                  <c:v>25484771.890000001</c:v>
                </c:pt>
                <c:pt idx="5">
                  <c:v>25530176.949999999</c:v>
                </c:pt>
                <c:pt idx="6">
                  <c:v>25442989.120000001</c:v>
                </c:pt>
                <c:pt idx="7">
                  <c:v>25313446.670000002</c:v>
                </c:pt>
                <c:pt idx="8">
                  <c:v>25154826.579999998</c:v>
                </c:pt>
                <c:pt idx="9">
                  <c:v>24964001.399999999</c:v>
                </c:pt>
                <c:pt idx="10">
                  <c:v>24738143.289999999</c:v>
                </c:pt>
                <c:pt idx="11">
                  <c:v>24362358.02</c:v>
                </c:pt>
                <c:pt idx="12">
                  <c:v>23944598.98</c:v>
                </c:pt>
                <c:pt idx="13">
                  <c:v>23487268.850000001</c:v>
                </c:pt>
                <c:pt idx="14">
                  <c:v>22984870.579999998</c:v>
                </c:pt>
                <c:pt idx="15">
                  <c:v>22437806.23</c:v>
                </c:pt>
                <c:pt idx="16">
                  <c:v>21960845.670000002</c:v>
                </c:pt>
                <c:pt idx="17">
                  <c:v>21441242.989999998</c:v>
                </c:pt>
                <c:pt idx="18">
                  <c:v>20898022.75</c:v>
                </c:pt>
                <c:pt idx="19">
                  <c:v>20333411.780000001</c:v>
                </c:pt>
                <c:pt idx="20">
                  <c:v>19773973.140000001</c:v>
                </c:pt>
                <c:pt idx="21">
                  <c:v>19215624.789999999</c:v>
                </c:pt>
                <c:pt idx="22">
                  <c:v>19142812.32</c:v>
                </c:pt>
                <c:pt idx="23">
                  <c:v>19163877.969999999</c:v>
                </c:pt>
                <c:pt idx="24">
                  <c:v>19183959.390000001</c:v>
                </c:pt>
                <c:pt idx="25">
                  <c:v>19202649.129999999</c:v>
                </c:pt>
                <c:pt idx="26">
                  <c:v>19218015.98</c:v>
                </c:pt>
                <c:pt idx="27">
                  <c:v>19222073.91</c:v>
                </c:pt>
                <c:pt idx="28">
                  <c:v>19226463.449999999</c:v>
                </c:pt>
                <c:pt idx="29">
                  <c:v>19230352.437627058</c:v>
                </c:pt>
                <c:pt idx="30">
                  <c:v>19238538.71764401</c:v>
                </c:pt>
                <c:pt idx="31">
                  <c:v>19247753.12766286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54-4EAD-A6E5-DB1489DF78C0}"/>
            </c:ext>
          </c:extLst>
        </c:ser>
        <c:ser>
          <c:idx val="8"/>
          <c:order val="8"/>
          <c:tx>
            <c:strRef>
              <c:f>'Total Energy'!$B$65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Energy'!$C$65:$AH$65</c:f>
              <c:numCache>
                <c:formatCode>General</c:formatCode>
                <c:ptCount val="32"/>
                <c:pt idx="0">
                  <c:v>11701098.921</c:v>
                </c:pt>
                <c:pt idx="1">
                  <c:v>11853983.017000001</c:v>
                </c:pt>
                <c:pt idx="2">
                  <c:v>12018035.221999999</c:v>
                </c:pt>
                <c:pt idx="3">
                  <c:v>12189549.183</c:v>
                </c:pt>
                <c:pt idx="4">
                  <c:v>12352177.32746</c:v>
                </c:pt>
                <c:pt idx="5">
                  <c:v>12323480.2006</c:v>
                </c:pt>
                <c:pt idx="6">
                  <c:v>12256595.8849</c:v>
                </c:pt>
                <c:pt idx="7">
                  <c:v>12131100.325099999</c:v>
                </c:pt>
                <c:pt idx="8">
                  <c:v>11997270.607000001</c:v>
                </c:pt>
                <c:pt idx="9">
                  <c:v>11849953.681</c:v>
                </c:pt>
                <c:pt idx="10">
                  <c:v>11743399.165999999</c:v>
                </c:pt>
                <c:pt idx="11">
                  <c:v>11582924.399</c:v>
                </c:pt>
                <c:pt idx="12">
                  <c:v>11399713.142000001</c:v>
                </c:pt>
                <c:pt idx="13">
                  <c:v>11205882.711999999</c:v>
                </c:pt>
                <c:pt idx="14">
                  <c:v>11000090.095000001</c:v>
                </c:pt>
                <c:pt idx="15">
                  <c:v>10781111.742000001</c:v>
                </c:pt>
                <c:pt idx="16">
                  <c:v>10608334.276000001</c:v>
                </c:pt>
                <c:pt idx="17">
                  <c:v>10411254.059</c:v>
                </c:pt>
                <c:pt idx="18">
                  <c:v>10188465.723999999</c:v>
                </c:pt>
                <c:pt idx="19">
                  <c:v>9934237.6999999993</c:v>
                </c:pt>
                <c:pt idx="20">
                  <c:v>9645759.6520000007</c:v>
                </c:pt>
                <c:pt idx="21">
                  <c:v>9316056.3049999997</c:v>
                </c:pt>
                <c:pt idx="22">
                  <c:v>9309939.709999999</c:v>
                </c:pt>
                <c:pt idx="23">
                  <c:v>9310575.5529999994</c:v>
                </c:pt>
                <c:pt idx="24">
                  <c:v>9323373.4539999999</c:v>
                </c:pt>
                <c:pt idx="25">
                  <c:v>9359046.7960999999</c:v>
                </c:pt>
                <c:pt idx="26">
                  <c:v>9404956.4065000005</c:v>
                </c:pt>
                <c:pt idx="27">
                  <c:v>9453447.6022999994</c:v>
                </c:pt>
                <c:pt idx="28">
                  <c:v>9502083.2854999993</c:v>
                </c:pt>
                <c:pt idx="29">
                  <c:v>9550738.6101228129</c:v>
                </c:pt>
                <c:pt idx="30">
                  <c:v>9599471.1801254172</c:v>
                </c:pt>
                <c:pt idx="31">
                  <c:v>9648198.7601280231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54-4EAD-A6E5-DB1489DF7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10001"/>
        <c:axId val="50410002"/>
      </c:areaChart>
      <c:catAx>
        <c:axId val="504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10002"/>
        <c:crosses val="autoZero"/>
        <c:auto val="1"/>
        <c:lblAlgn val="ctr"/>
        <c:lblOffset val="100"/>
        <c:tickLblSkip val="2"/>
        <c:noMultiLvlLbl val="0"/>
      </c:catAx>
      <c:valAx>
        <c:axId val="504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1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Energy'!$B$60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Energy'!$C$60,'Total Energy'!$AH$60)</c:f>
              <c:numCache>
                <c:formatCode>General</c:formatCode>
                <c:ptCount val="2"/>
                <c:pt idx="0">
                  <c:v>653072660.62</c:v>
                </c:pt>
                <c:pt idx="1">
                  <c:v>504584550.71803981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3-45FC-9CFB-D213ABCA8136}"/>
            </c:ext>
          </c:extLst>
        </c:ser>
        <c:ser>
          <c:idx val="1"/>
          <c:order val="1"/>
          <c:tx>
            <c:strRef>
              <c:f>'Total Energy'!$B$67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Energy'!$C$67,'Total Energy'!$AH$67)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199239710.03999999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63-45FC-9CFB-D213ABCA8136}"/>
            </c:ext>
          </c:extLst>
        </c:ser>
        <c:ser>
          <c:idx val="2"/>
          <c:order val="2"/>
          <c:tx>
            <c:strRef>
              <c:f>'Total Energy'!$B$61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Energy'!$C$61,'Total Energy'!$AH$61)</c:f>
              <c:numCache>
                <c:formatCode>General</c:formatCode>
                <c:ptCount val="2"/>
                <c:pt idx="0">
                  <c:v>452108148.43599999</c:v>
                </c:pt>
                <c:pt idx="1">
                  <c:v>458735309.11296862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63-45FC-9CFB-D213ABCA8136}"/>
            </c:ext>
          </c:extLst>
        </c:ser>
        <c:ser>
          <c:idx val="3"/>
          <c:order val="3"/>
          <c:tx>
            <c:strRef>
              <c:f>'Total Energy'!$B$66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Energy'!$C$66,'Total Energy'!$AH$66)</c:f>
              <c:numCache>
                <c:formatCode>General</c:formatCode>
                <c:ptCount val="2"/>
                <c:pt idx="0">
                  <c:v>228596226.74200001</c:v>
                </c:pt>
                <c:pt idx="1">
                  <c:v>78884651.974671483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63-45FC-9CFB-D213ABCA8136}"/>
            </c:ext>
          </c:extLst>
        </c:ser>
        <c:ser>
          <c:idx val="4"/>
          <c:order val="4"/>
          <c:tx>
            <c:strRef>
              <c:f>'Total Energy'!$B$64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Energy'!$C$64,'Total Energy'!$AH$64)</c:f>
              <c:numCache>
                <c:formatCode>General</c:formatCode>
                <c:ptCount val="2"/>
                <c:pt idx="0">
                  <c:v>110616717.56999999</c:v>
                </c:pt>
                <c:pt idx="1">
                  <c:v>78665027.556484371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63-45FC-9CFB-D213ABCA8136}"/>
            </c:ext>
          </c:extLst>
        </c:ser>
        <c:ser>
          <c:idx val="5"/>
          <c:order val="5"/>
          <c:tx>
            <c:strRef>
              <c:f>'Total Energy'!$B$68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Energy'!$C$68,'Total Energy'!$AH$68)</c:f>
              <c:numCache>
                <c:formatCode>General</c:formatCode>
                <c:ptCount val="2"/>
                <c:pt idx="0">
                  <c:v>71613249.542799994</c:v>
                </c:pt>
                <c:pt idx="1">
                  <c:v>43554874.492983557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63-45FC-9CFB-D213ABCA8136}"/>
            </c:ext>
          </c:extLst>
        </c:ser>
        <c:ser>
          <c:idx val="6"/>
          <c:order val="6"/>
          <c:tx>
            <c:strRef>
              <c:f>'Total Energy'!$B$62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Energy'!$C$62,'Total Energy'!$AH$62)</c:f>
              <c:numCache>
                <c:formatCode>General</c:formatCode>
                <c:ptCount val="2"/>
                <c:pt idx="0">
                  <c:v>47932011.942000002</c:v>
                </c:pt>
                <c:pt idx="1">
                  <c:v>29447141.291999999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63-45FC-9CFB-D213ABCA8136}"/>
            </c:ext>
          </c:extLst>
        </c:ser>
        <c:ser>
          <c:idx val="7"/>
          <c:order val="7"/>
          <c:tx>
            <c:strRef>
              <c:f>'Total Energy'!$B$63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Energy'!$C$63,'Total Energy'!$AH$63)</c:f>
              <c:numCache>
                <c:formatCode>General</c:formatCode>
                <c:ptCount val="2"/>
                <c:pt idx="0">
                  <c:v>25078806.98</c:v>
                </c:pt>
                <c:pt idx="1">
                  <c:v>19247753.12766286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63-45FC-9CFB-D213ABCA8136}"/>
            </c:ext>
          </c:extLst>
        </c:ser>
        <c:ser>
          <c:idx val="8"/>
          <c:order val="8"/>
          <c:tx>
            <c:strRef>
              <c:f>'Total Energy'!$B$65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Energy'!$C$65,'Total Energy'!$AH$65)</c:f>
              <c:numCache>
                <c:formatCode>General</c:formatCode>
                <c:ptCount val="2"/>
                <c:pt idx="0">
                  <c:v>11701098.921</c:v>
                </c:pt>
                <c:pt idx="1">
                  <c:v>9648198.7601280231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63-45FC-9CFB-D213ABCA8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20001"/>
        <c:axId val="50420002"/>
      </c:barChart>
      <c:catAx>
        <c:axId val="504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20002"/>
        <c:crosses val="autoZero"/>
        <c:auto val="1"/>
        <c:lblAlgn val="ctr"/>
        <c:lblOffset val="100"/>
        <c:noMultiLvlLbl val="0"/>
      </c:catAx>
      <c:valAx>
        <c:axId val="504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Energy'!$B$70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Energy'!$C$70:$AH$70</c:f>
              <c:numCache>
                <c:formatCode>General</c:formatCode>
                <c:ptCount val="32"/>
                <c:pt idx="0">
                  <c:v>653072660.62</c:v>
                </c:pt>
                <c:pt idx="1">
                  <c:v>651789723.70000005</c:v>
                </c:pt>
                <c:pt idx="2">
                  <c:v>651789722.59000003</c:v>
                </c:pt>
                <c:pt idx="3">
                  <c:v>651789722.59000003</c:v>
                </c:pt>
                <c:pt idx="4">
                  <c:v>650774817.5359</c:v>
                </c:pt>
                <c:pt idx="5">
                  <c:v>649759546.07299995</c:v>
                </c:pt>
                <c:pt idx="6">
                  <c:v>604629806.11199999</c:v>
                </c:pt>
                <c:pt idx="7">
                  <c:v>603614371.12899995</c:v>
                </c:pt>
                <c:pt idx="8">
                  <c:v>602599210.63899994</c:v>
                </c:pt>
                <c:pt idx="9">
                  <c:v>601584237.04900002</c:v>
                </c:pt>
                <c:pt idx="10">
                  <c:v>600569161.74199998</c:v>
                </c:pt>
                <c:pt idx="11">
                  <c:v>517081173.72899997</c:v>
                </c:pt>
                <c:pt idx="12">
                  <c:v>516065848.04000002</c:v>
                </c:pt>
                <c:pt idx="13">
                  <c:v>515050345.30699998</c:v>
                </c:pt>
                <c:pt idx="14">
                  <c:v>514034460.616</c:v>
                </c:pt>
                <c:pt idx="15">
                  <c:v>513018258.14200002</c:v>
                </c:pt>
                <c:pt idx="16">
                  <c:v>512001494.91799998</c:v>
                </c:pt>
                <c:pt idx="17">
                  <c:v>512001373.80800003</c:v>
                </c:pt>
                <c:pt idx="18">
                  <c:v>512001493.96799999</c:v>
                </c:pt>
                <c:pt idx="19">
                  <c:v>512001372.778</c:v>
                </c:pt>
                <c:pt idx="20">
                  <c:v>512001504.69800001</c:v>
                </c:pt>
                <c:pt idx="21">
                  <c:v>512001384.60699999</c:v>
                </c:pt>
                <c:pt idx="22">
                  <c:v>512001505.19415277</c:v>
                </c:pt>
                <c:pt idx="23">
                  <c:v>512001373.08415282</c:v>
                </c:pt>
                <c:pt idx="24">
                  <c:v>512001495.19415277</c:v>
                </c:pt>
                <c:pt idx="25">
                  <c:v>512001495.19415277</c:v>
                </c:pt>
                <c:pt idx="26">
                  <c:v>491383149.51213682</c:v>
                </c:pt>
                <c:pt idx="27">
                  <c:v>491383159.51213682</c:v>
                </c:pt>
                <c:pt idx="28">
                  <c:v>491383279.51213682</c:v>
                </c:pt>
                <c:pt idx="29">
                  <c:v>491383169.51213682</c:v>
                </c:pt>
                <c:pt idx="30">
                  <c:v>491383149.51213682</c:v>
                </c:pt>
                <c:pt idx="31">
                  <c:v>491383279.51213682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5-4D0C-9FE6-FF9F51197515}"/>
            </c:ext>
          </c:extLst>
        </c:ser>
        <c:ser>
          <c:idx val="1"/>
          <c:order val="1"/>
          <c:tx>
            <c:strRef>
              <c:f>'Total Energy'!$B$77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Energy'!$C$77:$AH$77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581576074.03999996</c:v>
                </c:pt>
                <c:pt idx="2">
                  <c:v>568852497.02999997</c:v>
                </c:pt>
                <c:pt idx="3">
                  <c:v>552869843.84000003</c:v>
                </c:pt>
                <c:pt idx="4">
                  <c:v>537901288.13999999</c:v>
                </c:pt>
                <c:pt idx="5">
                  <c:v>517183600.44</c:v>
                </c:pt>
                <c:pt idx="6">
                  <c:v>485260075.83999997</c:v>
                </c:pt>
                <c:pt idx="7">
                  <c:v>461167333.83999997</c:v>
                </c:pt>
                <c:pt idx="8">
                  <c:v>435711945.83999997</c:v>
                </c:pt>
                <c:pt idx="9">
                  <c:v>409809891.83999997</c:v>
                </c:pt>
                <c:pt idx="10">
                  <c:v>384973084.83999997</c:v>
                </c:pt>
                <c:pt idx="11">
                  <c:v>363516151.83999997</c:v>
                </c:pt>
                <c:pt idx="12">
                  <c:v>344915845.83999997</c:v>
                </c:pt>
                <c:pt idx="13">
                  <c:v>328662512.83999997</c:v>
                </c:pt>
                <c:pt idx="14">
                  <c:v>313644193.83999997</c:v>
                </c:pt>
                <c:pt idx="15">
                  <c:v>296863569.83999997</c:v>
                </c:pt>
                <c:pt idx="16">
                  <c:v>282627639.83999997</c:v>
                </c:pt>
                <c:pt idx="17">
                  <c:v>272337219.83999997</c:v>
                </c:pt>
                <c:pt idx="18">
                  <c:v>261941869.84</c:v>
                </c:pt>
                <c:pt idx="19">
                  <c:v>251902175.84</c:v>
                </c:pt>
                <c:pt idx="20">
                  <c:v>242574276.84</c:v>
                </c:pt>
                <c:pt idx="21">
                  <c:v>234070234.84</c:v>
                </c:pt>
                <c:pt idx="22">
                  <c:v>228185213.84</c:v>
                </c:pt>
                <c:pt idx="23">
                  <c:v>222735087.84</c:v>
                </c:pt>
                <c:pt idx="24">
                  <c:v>217860536.84</c:v>
                </c:pt>
                <c:pt idx="25">
                  <c:v>213617169.84</c:v>
                </c:pt>
                <c:pt idx="26">
                  <c:v>209981367.84</c:v>
                </c:pt>
                <c:pt idx="27">
                  <c:v>206937443.84</c:v>
                </c:pt>
                <c:pt idx="28">
                  <c:v>204424189.84</c:v>
                </c:pt>
                <c:pt idx="29">
                  <c:v>202372777.84</c:v>
                </c:pt>
                <c:pt idx="30">
                  <c:v>200688262.03999999</c:v>
                </c:pt>
                <c:pt idx="31">
                  <c:v>199239710.03999999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5-4D0C-9FE6-FF9F51197515}"/>
            </c:ext>
          </c:extLst>
        </c:ser>
        <c:ser>
          <c:idx val="2"/>
          <c:order val="2"/>
          <c:tx>
            <c:strRef>
              <c:f>'Total Energy'!$B$71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Energy'!$C$71:$AH$71</c:f>
              <c:numCache>
                <c:formatCode>General</c:formatCode>
                <c:ptCount val="32"/>
                <c:pt idx="0">
                  <c:v>452108148.43599999</c:v>
                </c:pt>
                <c:pt idx="1">
                  <c:v>452108144.05599999</c:v>
                </c:pt>
                <c:pt idx="2">
                  <c:v>452108135.16060001</c:v>
                </c:pt>
                <c:pt idx="3">
                  <c:v>457876078.00599998</c:v>
                </c:pt>
                <c:pt idx="4">
                  <c:v>463057220.273</c:v>
                </c:pt>
                <c:pt idx="5">
                  <c:v>470286093.495</c:v>
                </c:pt>
                <c:pt idx="6">
                  <c:v>471167752.023</c:v>
                </c:pt>
                <c:pt idx="7">
                  <c:v>472102282.236</c:v>
                </c:pt>
                <c:pt idx="8">
                  <c:v>472863612.68599999</c:v>
                </c:pt>
                <c:pt idx="9">
                  <c:v>473468656.19300002</c:v>
                </c:pt>
                <c:pt idx="10">
                  <c:v>473706400.58700001</c:v>
                </c:pt>
                <c:pt idx="11">
                  <c:v>473811015.50800002</c:v>
                </c:pt>
                <c:pt idx="12">
                  <c:v>476273577.47399998</c:v>
                </c:pt>
                <c:pt idx="13">
                  <c:v>478473905.98100001</c:v>
                </c:pt>
                <c:pt idx="14">
                  <c:v>480457368.99900001</c:v>
                </c:pt>
                <c:pt idx="15">
                  <c:v>482219247.31099999</c:v>
                </c:pt>
                <c:pt idx="16">
                  <c:v>484059445.91399997</c:v>
                </c:pt>
                <c:pt idx="17">
                  <c:v>481558725.412</c:v>
                </c:pt>
                <c:pt idx="18">
                  <c:v>479242029.93900001</c:v>
                </c:pt>
                <c:pt idx="19">
                  <c:v>477099320.38200003</c:v>
                </c:pt>
                <c:pt idx="20">
                  <c:v>475086472.22799999</c:v>
                </c:pt>
                <c:pt idx="21">
                  <c:v>473283534.116</c:v>
                </c:pt>
                <c:pt idx="22">
                  <c:v>471495364.68027133</c:v>
                </c:pt>
                <c:pt idx="23">
                  <c:v>469798052.87023419</c:v>
                </c:pt>
                <c:pt idx="24">
                  <c:v>468179603.48045021</c:v>
                </c:pt>
                <c:pt idx="25">
                  <c:v>466617269.4248749</c:v>
                </c:pt>
                <c:pt idx="26">
                  <c:v>465159083.62346649</c:v>
                </c:pt>
                <c:pt idx="27">
                  <c:v>463548713.47479832</c:v>
                </c:pt>
                <c:pt idx="28">
                  <c:v>461984155.52627212</c:v>
                </c:pt>
                <c:pt idx="29">
                  <c:v>460461131.6108495</c:v>
                </c:pt>
                <c:pt idx="30">
                  <c:v>458954917.85749328</c:v>
                </c:pt>
                <c:pt idx="31">
                  <c:v>457528997.90296859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5-4D0C-9FE6-FF9F51197515}"/>
            </c:ext>
          </c:extLst>
        </c:ser>
        <c:ser>
          <c:idx val="3"/>
          <c:order val="3"/>
          <c:tx>
            <c:strRef>
              <c:f>'Total Energy'!$B$76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Energy'!$C$76:$AH$76</c:f>
              <c:numCache>
                <c:formatCode>General</c:formatCode>
                <c:ptCount val="32"/>
                <c:pt idx="0">
                  <c:v>228596226.74200001</c:v>
                </c:pt>
                <c:pt idx="1">
                  <c:v>228057436.59200001</c:v>
                </c:pt>
                <c:pt idx="2">
                  <c:v>227070613.09099999</c:v>
                </c:pt>
                <c:pt idx="3">
                  <c:v>226645157.134</c:v>
                </c:pt>
                <c:pt idx="4">
                  <c:v>225151975.14829001</c:v>
                </c:pt>
                <c:pt idx="5">
                  <c:v>219063713.68599999</c:v>
                </c:pt>
                <c:pt idx="6">
                  <c:v>215780625.324</c:v>
                </c:pt>
                <c:pt idx="7">
                  <c:v>210117779.38699999</c:v>
                </c:pt>
                <c:pt idx="8">
                  <c:v>204366064.794</c:v>
                </c:pt>
                <c:pt idx="9">
                  <c:v>198584915.81099999</c:v>
                </c:pt>
                <c:pt idx="10">
                  <c:v>190351564.33399999</c:v>
                </c:pt>
                <c:pt idx="11">
                  <c:v>184665196.083</c:v>
                </c:pt>
                <c:pt idx="12">
                  <c:v>177182253.77649999</c:v>
                </c:pt>
                <c:pt idx="13">
                  <c:v>169459974.1532</c:v>
                </c:pt>
                <c:pt idx="14">
                  <c:v>161316149.5422</c:v>
                </c:pt>
                <c:pt idx="15">
                  <c:v>151768581.28264999</c:v>
                </c:pt>
                <c:pt idx="16">
                  <c:v>144722597.53663</c:v>
                </c:pt>
                <c:pt idx="17">
                  <c:v>136194495.01861</c:v>
                </c:pt>
                <c:pt idx="18">
                  <c:v>127195190.59593</c:v>
                </c:pt>
                <c:pt idx="19">
                  <c:v>117840339.32837</c:v>
                </c:pt>
                <c:pt idx="20">
                  <c:v>107979997.49805</c:v>
                </c:pt>
                <c:pt idx="21">
                  <c:v>99537007.525470003</c:v>
                </c:pt>
                <c:pt idx="22">
                  <c:v>97603586.777855933</c:v>
                </c:pt>
                <c:pt idx="23">
                  <c:v>96614305.997117296</c:v>
                </c:pt>
                <c:pt idx="24">
                  <c:v>95541316.415343389</c:v>
                </c:pt>
                <c:pt idx="25">
                  <c:v>94019450.23401022</c:v>
                </c:pt>
                <c:pt idx="26">
                  <c:v>93721933.290837035</c:v>
                </c:pt>
                <c:pt idx="27">
                  <c:v>92783389.661127239</c:v>
                </c:pt>
                <c:pt idx="28">
                  <c:v>91828035.304592639</c:v>
                </c:pt>
                <c:pt idx="29">
                  <c:v>90855634.481988028</c:v>
                </c:pt>
                <c:pt idx="30">
                  <c:v>89393532.215193734</c:v>
                </c:pt>
                <c:pt idx="31">
                  <c:v>89132599.231377646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D5-4D0C-9FE6-FF9F51197515}"/>
            </c:ext>
          </c:extLst>
        </c:ser>
        <c:ser>
          <c:idx val="4"/>
          <c:order val="4"/>
          <c:tx>
            <c:strRef>
              <c:f>'Total Energy'!$B$74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Energy'!$C$74:$AH$74</c:f>
              <c:numCache>
                <c:formatCode>General</c:formatCode>
                <c:ptCount val="32"/>
                <c:pt idx="0">
                  <c:v>110616717.56999999</c:v>
                </c:pt>
                <c:pt idx="1">
                  <c:v>110804355.98999999</c:v>
                </c:pt>
                <c:pt idx="2">
                  <c:v>111546898.59</c:v>
                </c:pt>
                <c:pt idx="3">
                  <c:v>112395791.62</c:v>
                </c:pt>
                <c:pt idx="4">
                  <c:v>113015537.087</c:v>
                </c:pt>
                <c:pt idx="5">
                  <c:v>113295509.88</c:v>
                </c:pt>
                <c:pt idx="6">
                  <c:v>113095684.48999999</c:v>
                </c:pt>
                <c:pt idx="7">
                  <c:v>112287120.44</c:v>
                </c:pt>
                <c:pt idx="8">
                  <c:v>111358042.48999999</c:v>
                </c:pt>
                <c:pt idx="9">
                  <c:v>110309254.45</c:v>
                </c:pt>
                <c:pt idx="10">
                  <c:v>109122607.44</c:v>
                </c:pt>
                <c:pt idx="11">
                  <c:v>107459810.73999999</c:v>
                </c:pt>
                <c:pt idx="12">
                  <c:v>105569491.09999999</c:v>
                </c:pt>
                <c:pt idx="13">
                  <c:v>103518350.09999999</c:v>
                </c:pt>
                <c:pt idx="14">
                  <c:v>101268697.59999999</c:v>
                </c:pt>
                <c:pt idx="15">
                  <c:v>98807262.399999991</c:v>
                </c:pt>
                <c:pt idx="16">
                  <c:v>96282394.200000003</c:v>
                </c:pt>
                <c:pt idx="17">
                  <c:v>93470190.599999994</c:v>
                </c:pt>
                <c:pt idx="18">
                  <c:v>90385998</c:v>
                </c:pt>
                <c:pt idx="19">
                  <c:v>86957983.900000006</c:v>
                </c:pt>
                <c:pt idx="20">
                  <c:v>83194026.480000004</c:v>
                </c:pt>
                <c:pt idx="21">
                  <c:v>79012833.138999999</c:v>
                </c:pt>
                <c:pt idx="22">
                  <c:v>78514778.117368057</c:v>
                </c:pt>
                <c:pt idx="23">
                  <c:v>78254425.117159694</c:v>
                </c:pt>
                <c:pt idx="24">
                  <c:v>78152620.017012298</c:v>
                </c:pt>
                <c:pt idx="25">
                  <c:v>78219200.516929641</c:v>
                </c:pt>
                <c:pt idx="26">
                  <c:v>78288121.916850418</c:v>
                </c:pt>
                <c:pt idx="27">
                  <c:v>78361884.316776931</c:v>
                </c:pt>
                <c:pt idx="28">
                  <c:v>78436057.816703573</c:v>
                </c:pt>
                <c:pt idx="29">
                  <c:v>78509090.516630232</c:v>
                </c:pt>
                <c:pt idx="30">
                  <c:v>78590614.016556874</c:v>
                </c:pt>
                <c:pt idx="31">
                  <c:v>78676755.51648438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D5-4D0C-9FE6-FF9F51197515}"/>
            </c:ext>
          </c:extLst>
        </c:ser>
        <c:ser>
          <c:idx val="5"/>
          <c:order val="5"/>
          <c:tx>
            <c:strRef>
              <c:f>'Total Energy'!$B$78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Energy'!$C$78:$AH$78</c:f>
              <c:numCache>
                <c:formatCode>General</c:formatCode>
                <c:ptCount val="32"/>
                <c:pt idx="0">
                  <c:v>71613249.542799994</c:v>
                </c:pt>
                <c:pt idx="1">
                  <c:v>71778356.482800007</c:v>
                </c:pt>
                <c:pt idx="2">
                  <c:v>71917406.232800007</c:v>
                </c:pt>
                <c:pt idx="3">
                  <c:v>72129719.022799999</c:v>
                </c:pt>
                <c:pt idx="4">
                  <c:v>72039863.695500001</c:v>
                </c:pt>
                <c:pt idx="5">
                  <c:v>71669539.065799996</c:v>
                </c:pt>
                <c:pt idx="6">
                  <c:v>71016016.326800004</c:v>
                </c:pt>
                <c:pt idx="7">
                  <c:v>70030302.451800004</c:v>
                </c:pt>
                <c:pt idx="8">
                  <c:v>68806090.842800006</c:v>
                </c:pt>
                <c:pt idx="9">
                  <c:v>67318159.402799994</c:v>
                </c:pt>
                <c:pt idx="10">
                  <c:v>65183703.562799998</c:v>
                </c:pt>
                <c:pt idx="11">
                  <c:v>62702976.152800001</c:v>
                </c:pt>
                <c:pt idx="12">
                  <c:v>60026461.892800003</c:v>
                </c:pt>
                <c:pt idx="13">
                  <c:v>57373443.452799998</c:v>
                </c:pt>
                <c:pt idx="14">
                  <c:v>54836851.892800003</c:v>
                </c:pt>
                <c:pt idx="15">
                  <c:v>52468209.452799998</c:v>
                </c:pt>
                <c:pt idx="16">
                  <c:v>50336017.8728</c:v>
                </c:pt>
                <c:pt idx="17">
                  <c:v>48376930.432800002</c:v>
                </c:pt>
                <c:pt idx="18">
                  <c:v>46569014.132799998</c:v>
                </c:pt>
                <c:pt idx="19">
                  <c:v>44884963.822800003</c:v>
                </c:pt>
                <c:pt idx="20">
                  <c:v>43309734.492799997</c:v>
                </c:pt>
                <c:pt idx="21">
                  <c:v>41830664.426799998</c:v>
                </c:pt>
                <c:pt idx="22">
                  <c:v>41167032.983318493</c:v>
                </c:pt>
                <c:pt idx="23">
                  <c:v>40684056.88285026</c:v>
                </c:pt>
                <c:pt idx="24">
                  <c:v>40380928.74572017</c:v>
                </c:pt>
                <c:pt idx="25">
                  <c:v>40224923.201374553</c:v>
                </c:pt>
                <c:pt idx="26">
                  <c:v>40150879.040683351</c:v>
                </c:pt>
                <c:pt idx="27">
                  <c:v>40114354.890095532</c:v>
                </c:pt>
                <c:pt idx="28">
                  <c:v>40106022.406123303</c:v>
                </c:pt>
                <c:pt idx="29">
                  <c:v>40110299.240436323</c:v>
                </c:pt>
                <c:pt idx="30">
                  <c:v>40119245.642359167</c:v>
                </c:pt>
                <c:pt idx="31">
                  <c:v>40129752.348920062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D5-4D0C-9FE6-FF9F51197515}"/>
            </c:ext>
          </c:extLst>
        </c:ser>
        <c:ser>
          <c:idx val="6"/>
          <c:order val="6"/>
          <c:tx>
            <c:strRef>
              <c:f>'Total Energy'!$B$72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Energy'!$C$72:$AH$72</c:f>
              <c:numCache>
                <c:formatCode>General</c:formatCode>
                <c:ptCount val="32"/>
                <c:pt idx="0">
                  <c:v>47932011.942000002</c:v>
                </c:pt>
                <c:pt idx="1">
                  <c:v>47837688.825999998</c:v>
                </c:pt>
                <c:pt idx="2">
                  <c:v>48069418.412</c:v>
                </c:pt>
                <c:pt idx="3">
                  <c:v>48304901.685999997</c:v>
                </c:pt>
                <c:pt idx="4">
                  <c:v>48467421.560000002</c:v>
                </c:pt>
                <c:pt idx="5">
                  <c:v>48465261.549999997</c:v>
                </c:pt>
                <c:pt idx="6">
                  <c:v>48232277.920000002</c:v>
                </c:pt>
                <c:pt idx="7">
                  <c:v>47746159.700000003</c:v>
                </c:pt>
                <c:pt idx="8">
                  <c:v>47212344</c:v>
                </c:pt>
                <c:pt idx="9">
                  <c:v>46633116.399999999</c:v>
                </c:pt>
                <c:pt idx="10">
                  <c:v>46000742</c:v>
                </c:pt>
                <c:pt idx="11">
                  <c:v>45160581.100000001</c:v>
                </c:pt>
                <c:pt idx="12">
                  <c:v>44237299.299999997</c:v>
                </c:pt>
                <c:pt idx="13">
                  <c:v>43251100.5</c:v>
                </c:pt>
                <c:pt idx="14">
                  <c:v>42185263.100000001</c:v>
                </c:pt>
                <c:pt idx="15">
                  <c:v>41032513.5</c:v>
                </c:pt>
                <c:pt idx="16">
                  <c:v>39819916.700000003</c:v>
                </c:pt>
                <c:pt idx="17">
                  <c:v>38489605.100000001</c:v>
                </c:pt>
                <c:pt idx="18">
                  <c:v>37028367.799999997</c:v>
                </c:pt>
                <c:pt idx="19">
                  <c:v>35393054.200000003</c:v>
                </c:pt>
                <c:pt idx="20">
                  <c:v>33575130.899999999</c:v>
                </c:pt>
                <c:pt idx="21">
                  <c:v>31541012.100000001</c:v>
                </c:pt>
                <c:pt idx="22">
                  <c:v>31134076.399999999</c:v>
                </c:pt>
                <c:pt idx="23">
                  <c:v>30794843.699999999</c:v>
                </c:pt>
                <c:pt idx="24">
                  <c:v>30539886.399999999</c:v>
                </c:pt>
                <c:pt idx="25">
                  <c:v>30374848</c:v>
                </c:pt>
                <c:pt idx="26">
                  <c:v>30213468.300000001</c:v>
                </c:pt>
                <c:pt idx="27">
                  <c:v>30058269.399999999</c:v>
                </c:pt>
                <c:pt idx="28">
                  <c:v>29903975.699999999</c:v>
                </c:pt>
                <c:pt idx="29">
                  <c:v>29750051.399999999</c:v>
                </c:pt>
                <c:pt idx="30">
                  <c:v>29597928.100000001</c:v>
                </c:pt>
                <c:pt idx="31">
                  <c:v>29447140.800000001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D5-4D0C-9FE6-FF9F51197515}"/>
            </c:ext>
          </c:extLst>
        </c:ser>
        <c:ser>
          <c:idx val="7"/>
          <c:order val="7"/>
          <c:tx>
            <c:strRef>
              <c:f>'Total Energy'!$B$73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Energy'!$C$73:$AH$73</c:f>
              <c:numCache>
                <c:formatCode>General</c:formatCode>
                <c:ptCount val="32"/>
                <c:pt idx="0">
                  <c:v>25078806.98</c:v>
                </c:pt>
                <c:pt idx="1">
                  <c:v>25207328.789999999</c:v>
                </c:pt>
                <c:pt idx="2">
                  <c:v>25276348.300000001</c:v>
                </c:pt>
                <c:pt idx="3">
                  <c:v>25415838.390000001</c:v>
                </c:pt>
                <c:pt idx="4">
                  <c:v>25484768.02</c:v>
                </c:pt>
                <c:pt idx="5">
                  <c:v>25530172.850000001</c:v>
                </c:pt>
                <c:pt idx="6">
                  <c:v>25442985.34</c:v>
                </c:pt>
                <c:pt idx="7">
                  <c:v>25313448.620000001</c:v>
                </c:pt>
                <c:pt idx="8">
                  <c:v>25154828.199999999</c:v>
                </c:pt>
                <c:pt idx="9">
                  <c:v>24964002.699999999</c:v>
                </c:pt>
                <c:pt idx="10">
                  <c:v>24738145.5</c:v>
                </c:pt>
                <c:pt idx="11">
                  <c:v>24362352.199999999</c:v>
                </c:pt>
                <c:pt idx="12">
                  <c:v>23944604.300000001</c:v>
                </c:pt>
                <c:pt idx="13">
                  <c:v>23487264.800000001</c:v>
                </c:pt>
                <c:pt idx="14">
                  <c:v>22984872.600000001</c:v>
                </c:pt>
                <c:pt idx="15">
                  <c:v>22437805.899999999</c:v>
                </c:pt>
                <c:pt idx="16">
                  <c:v>21960845</c:v>
                </c:pt>
                <c:pt idx="17">
                  <c:v>21441241.5</c:v>
                </c:pt>
                <c:pt idx="18">
                  <c:v>20898024.100000001</c:v>
                </c:pt>
                <c:pt idx="19">
                  <c:v>20333409.199999999</c:v>
                </c:pt>
                <c:pt idx="20">
                  <c:v>19773964.399999999</c:v>
                </c:pt>
                <c:pt idx="21">
                  <c:v>19215621.037999999</c:v>
                </c:pt>
                <c:pt idx="22">
                  <c:v>19142815.737450749</c:v>
                </c:pt>
                <c:pt idx="23">
                  <c:v>19163887.737492379</c:v>
                </c:pt>
                <c:pt idx="24">
                  <c:v>19183958.437532071</c:v>
                </c:pt>
                <c:pt idx="25">
                  <c:v>19202644.437569119</c:v>
                </c:pt>
                <c:pt idx="26">
                  <c:v>19218020.737599671</c:v>
                </c:pt>
                <c:pt idx="27">
                  <c:v>19222067.637608711</c:v>
                </c:pt>
                <c:pt idx="28">
                  <c:v>19226460.43761839</c:v>
                </c:pt>
                <c:pt idx="29">
                  <c:v>19230345.03762706</c:v>
                </c:pt>
                <c:pt idx="30">
                  <c:v>19238543.737644009</c:v>
                </c:pt>
                <c:pt idx="31">
                  <c:v>19247747.237662859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D5-4D0C-9FE6-FF9F51197515}"/>
            </c:ext>
          </c:extLst>
        </c:ser>
        <c:ser>
          <c:idx val="8"/>
          <c:order val="8"/>
          <c:tx>
            <c:strRef>
              <c:f>'Total Energy'!$B$75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Energy'!$C$75:$AH$75</c:f>
              <c:numCache>
                <c:formatCode>General</c:formatCode>
                <c:ptCount val="32"/>
                <c:pt idx="0">
                  <c:v>11701098.921</c:v>
                </c:pt>
                <c:pt idx="1">
                  <c:v>11853983.017000001</c:v>
                </c:pt>
                <c:pt idx="2">
                  <c:v>12018035.221999999</c:v>
                </c:pt>
                <c:pt idx="3">
                  <c:v>12189549.183</c:v>
                </c:pt>
                <c:pt idx="4">
                  <c:v>12352177.036459999</c:v>
                </c:pt>
                <c:pt idx="5">
                  <c:v>12322301.8521</c:v>
                </c:pt>
                <c:pt idx="6">
                  <c:v>12253535.7864</c:v>
                </c:pt>
                <c:pt idx="7">
                  <c:v>12125409.440099999</c:v>
                </c:pt>
                <c:pt idx="8">
                  <c:v>11988135.231000001</c:v>
                </c:pt>
                <c:pt idx="9">
                  <c:v>11836776.84</c:v>
                </c:pt>
                <c:pt idx="10">
                  <c:v>11720534.547</c:v>
                </c:pt>
                <c:pt idx="11">
                  <c:v>11550525.596000001</c:v>
                </c:pt>
                <c:pt idx="12">
                  <c:v>11358560.926999999</c:v>
                </c:pt>
                <c:pt idx="13">
                  <c:v>11156875.255999999</c:v>
                </c:pt>
                <c:pt idx="14">
                  <c:v>10944124.370999999</c:v>
                </c:pt>
                <c:pt idx="15">
                  <c:v>10719026.593</c:v>
                </c:pt>
                <c:pt idx="16">
                  <c:v>10540581.342</c:v>
                </c:pt>
                <c:pt idx="17">
                  <c:v>10338521.301999999</c:v>
                </c:pt>
                <c:pt idx="18">
                  <c:v>10111399.596000001</c:v>
                </c:pt>
                <c:pt idx="19">
                  <c:v>9853541.8690000009</c:v>
                </c:pt>
                <c:pt idx="20">
                  <c:v>9562171.0020000003</c:v>
                </c:pt>
                <c:pt idx="21">
                  <c:v>9230376.7148000002</c:v>
                </c:pt>
                <c:pt idx="22">
                  <c:v>9223459.7340881173</c:v>
                </c:pt>
                <c:pt idx="23">
                  <c:v>9223260.0040948372</c:v>
                </c:pt>
                <c:pt idx="24">
                  <c:v>9235123.6841015574</c:v>
                </c:pt>
                <c:pt idx="25">
                  <c:v>9269692.9541082773</c:v>
                </c:pt>
                <c:pt idx="26">
                  <c:v>9314446.1341149956</c:v>
                </c:pt>
                <c:pt idx="27">
                  <c:v>9361809.4241176005</c:v>
                </c:pt>
                <c:pt idx="28">
                  <c:v>9409366.4141202066</c:v>
                </c:pt>
                <c:pt idx="29">
                  <c:v>9457008.5141228121</c:v>
                </c:pt>
                <c:pt idx="30">
                  <c:v>9504805.304125417</c:v>
                </c:pt>
                <c:pt idx="31">
                  <c:v>9552671.1941280235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D5-4D0C-9FE6-FF9F51197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30001"/>
        <c:axId val="50430002"/>
      </c:areaChart>
      <c:catAx>
        <c:axId val="504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30002"/>
        <c:crosses val="autoZero"/>
        <c:auto val="1"/>
        <c:lblAlgn val="ctr"/>
        <c:lblOffset val="100"/>
        <c:tickLblSkip val="2"/>
        <c:noMultiLvlLbl val="0"/>
      </c:catAx>
      <c:valAx>
        <c:axId val="504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3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Energy'!$B$70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Energy'!$C$70,'Total Energy'!$AH$70)</c:f>
              <c:numCache>
                <c:formatCode>General</c:formatCode>
                <c:ptCount val="2"/>
                <c:pt idx="0">
                  <c:v>653072660.62</c:v>
                </c:pt>
                <c:pt idx="1">
                  <c:v>491383279.51213682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5-4D4B-AE40-16B76FCC3CA7}"/>
            </c:ext>
          </c:extLst>
        </c:ser>
        <c:ser>
          <c:idx val="1"/>
          <c:order val="1"/>
          <c:tx>
            <c:strRef>
              <c:f>'Total Energy'!$B$77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Energy'!$C$77,'Total Energy'!$AH$77)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199239710.03999999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5-4D4B-AE40-16B76FCC3CA7}"/>
            </c:ext>
          </c:extLst>
        </c:ser>
        <c:ser>
          <c:idx val="2"/>
          <c:order val="2"/>
          <c:tx>
            <c:strRef>
              <c:f>'Total Energy'!$B$71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Energy'!$C$71,'Total Energy'!$AH$71)</c:f>
              <c:numCache>
                <c:formatCode>General</c:formatCode>
                <c:ptCount val="2"/>
                <c:pt idx="0">
                  <c:v>452108148.43599999</c:v>
                </c:pt>
                <c:pt idx="1">
                  <c:v>457528997.90296859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5-4D4B-AE40-16B76FCC3CA7}"/>
            </c:ext>
          </c:extLst>
        </c:ser>
        <c:ser>
          <c:idx val="3"/>
          <c:order val="3"/>
          <c:tx>
            <c:strRef>
              <c:f>'Total Energy'!$B$76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Energy'!$C$76,'Total Energy'!$AH$76)</c:f>
              <c:numCache>
                <c:formatCode>General</c:formatCode>
                <c:ptCount val="2"/>
                <c:pt idx="0">
                  <c:v>228596226.74200001</c:v>
                </c:pt>
                <c:pt idx="1">
                  <c:v>89132599.231377646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45-4D4B-AE40-16B76FCC3CA7}"/>
            </c:ext>
          </c:extLst>
        </c:ser>
        <c:ser>
          <c:idx val="4"/>
          <c:order val="4"/>
          <c:tx>
            <c:strRef>
              <c:f>'Total Energy'!$B$74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Energy'!$C$74,'Total Energy'!$AH$74)</c:f>
              <c:numCache>
                <c:formatCode>General</c:formatCode>
                <c:ptCount val="2"/>
                <c:pt idx="0">
                  <c:v>110616717.56999999</c:v>
                </c:pt>
                <c:pt idx="1">
                  <c:v>78676755.51648438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45-4D4B-AE40-16B76FCC3CA7}"/>
            </c:ext>
          </c:extLst>
        </c:ser>
        <c:ser>
          <c:idx val="5"/>
          <c:order val="5"/>
          <c:tx>
            <c:strRef>
              <c:f>'Total Energy'!$B$78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Energy'!$C$78,'Total Energy'!$AH$78)</c:f>
              <c:numCache>
                <c:formatCode>General</c:formatCode>
                <c:ptCount val="2"/>
                <c:pt idx="0">
                  <c:v>71613249.542799994</c:v>
                </c:pt>
                <c:pt idx="1">
                  <c:v>40129752.348920062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45-4D4B-AE40-16B76FCC3CA7}"/>
            </c:ext>
          </c:extLst>
        </c:ser>
        <c:ser>
          <c:idx val="6"/>
          <c:order val="6"/>
          <c:tx>
            <c:strRef>
              <c:f>'Total Energy'!$B$72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Energy'!$C$72,'Total Energy'!$AH$72)</c:f>
              <c:numCache>
                <c:formatCode>General</c:formatCode>
                <c:ptCount val="2"/>
                <c:pt idx="0">
                  <c:v>47932011.942000002</c:v>
                </c:pt>
                <c:pt idx="1">
                  <c:v>29447140.800000001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45-4D4B-AE40-16B76FCC3CA7}"/>
            </c:ext>
          </c:extLst>
        </c:ser>
        <c:ser>
          <c:idx val="7"/>
          <c:order val="7"/>
          <c:tx>
            <c:strRef>
              <c:f>'Total Energy'!$B$73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Energy'!$C$73,'Total Energy'!$AH$73)</c:f>
              <c:numCache>
                <c:formatCode>General</c:formatCode>
                <c:ptCount val="2"/>
                <c:pt idx="0">
                  <c:v>25078806.98</c:v>
                </c:pt>
                <c:pt idx="1">
                  <c:v>19247747.237662859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45-4D4B-AE40-16B76FCC3CA7}"/>
            </c:ext>
          </c:extLst>
        </c:ser>
        <c:ser>
          <c:idx val="8"/>
          <c:order val="8"/>
          <c:tx>
            <c:strRef>
              <c:f>'Total Energy'!$B$75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Energy'!$C$75,'Total Energy'!$AH$75)</c:f>
              <c:numCache>
                <c:formatCode>General</c:formatCode>
                <c:ptCount val="2"/>
                <c:pt idx="0">
                  <c:v>11701098.921</c:v>
                </c:pt>
                <c:pt idx="1">
                  <c:v>9552671.1941280235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45-4D4B-AE40-16B76FCC3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40001"/>
        <c:axId val="50440002"/>
      </c:barChart>
      <c:catAx>
        <c:axId val="504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40002"/>
        <c:crosses val="autoZero"/>
        <c:auto val="1"/>
        <c:lblAlgn val="ctr"/>
        <c:lblOffset val="100"/>
        <c:noMultiLvlLbl val="0"/>
      </c:catAx>
      <c:valAx>
        <c:axId val="504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4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Energy'!$B$80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Energy'!$C$80:$AH$80</c:f>
              <c:numCache>
                <c:formatCode>General</c:formatCode>
                <c:ptCount val="32"/>
                <c:pt idx="0">
                  <c:v>653072660.62</c:v>
                </c:pt>
                <c:pt idx="1">
                  <c:v>651789712.59000003</c:v>
                </c:pt>
                <c:pt idx="2">
                  <c:v>651789722.59000003</c:v>
                </c:pt>
                <c:pt idx="3">
                  <c:v>651789712.49000001</c:v>
                </c:pt>
                <c:pt idx="4">
                  <c:v>651789722.59000003</c:v>
                </c:pt>
                <c:pt idx="5">
                  <c:v>651789722.59000003</c:v>
                </c:pt>
                <c:pt idx="6">
                  <c:v>607675673.25999999</c:v>
                </c:pt>
                <c:pt idx="7">
                  <c:v>607675673.25999999</c:v>
                </c:pt>
                <c:pt idx="8">
                  <c:v>607675673.25999999</c:v>
                </c:pt>
                <c:pt idx="9">
                  <c:v>607675683.38</c:v>
                </c:pt>
                <c:pt idx="10">
                  <c:v>607675673.25999999</c:v>
                </c:pt>
                <c:pt idx="11">
                  <c:v>525202789.61000001</c:v>
                </c:pt>
                <c:pt idx="12">
                  <c:v>525202779.60000002</c:v>
                </c:pt>
                <c:pt idx="13">
                  <c:v>525202779.60000002</c:v>
                </c:pt>
                <c:pt idx="14">
                  <c:v>525202779.60000002</c:v>
                </c:pt>
                <c:pt idx="15">
                  <c:v>525202779.60000002</c:v>
                </c:pt>
                <c:pt idx="16">
                  <c:v>525202779.60000002</c:v>
                </c:pt>
                <c:pt idx="17">
                  <c:v>525202779.60000002</c:v>
                </c:pt>
                <c:pt idx="18">
                  <c:v>525202779.59899998</c:v>
                </c:pt>
                <c:pt idx="19">
                  <c:v>525202789.61000001</c:v>
                </c:pt>
                <c:pt idx="20">
                  <c:v>525202779.61000001</c:v>
                </c:pt>
                <c:pt idx="21">
                  <c:v>525202779.61000001</c:v>
                </c:pt>
                <c:pt idx="22">
                  <c:v>525202789.61000001</c:v>
                </c:pt>
                <c:pt idx="23">
                  <c:v>525202789.61000001</c:v>
                </c:pt>
                <c:pt idx="24">
                  <c:v>525202789.61000001</c:v>
                </c:pt>
                <c:pt idx="25">
                  <c:v>525202779.59899998</c:v>
                </c:pt>
                <c:pt idx="26">
                  <c:v>504584566.48000002</c:v>
                </c:pt>
                <c:pt idx="27">
                  <c:v>504584567.48000002</c:v>
                </c:pt>
                <c:pt idx="28">
                  <c:v>504584566.48000002</c:v>
                </c:pt>
                <c:pt idx="29">
                  <c:v>504584567.58999997</c:v>
                </c:pt>
                <c:pt idx="30">
                  <c:v>504584566.48000002</c:v>
                </c:pt>
                <c:pt idx="31">
                  <c:v>504584566.48000002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4-44CC-B28F-75D0C5A8D0E2}"/>
            </c:ext>
          </c:extLst>
        </c:ser>
        <c:ser>
          <c:idx val="1"/>
          <c:order val="1"/>
          <c:tx>
            <c:strRef>
              <c:f>'Total Energy'!$B$87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Energy'!$C$87:$AH$87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581199655.44000006</c:v>
                </c:pt>
                <c:pt idx="2">
                  <c:v>578731560.07300007</c:v>
                </c:pt>
                <c:pt idx="3">
                  <c:v>572683278.39600003</c:v>
                </c:pt>
                <c:pt idx="4">
                  <c:v>567630250.31799996</c:v>
                </c:pt>
                <c:pt idx="5">
                  <c:v>557303235.352</c:v>
                </c:pt>
                <c:pt idx="6">
                  <c:v>534057144.38</c:v>
                </c:pt>
                <c:pt idx="7">
                  <c:v>518615508.41000003</c:v>
                </c:pt>
                <c:pt idx="8">
                  <c:v>500854726.32999998</c:v>
                </c:pt>
                <c:pt idx="9">
                  <c:v>481734172.36000001</c:v>
                </c:pt>
                <c:pt idx="10">
                  <c:v>463012681.39999998</c:v>
                </c:pt>
                <c:pt idx="11">
                  <c:v>447582770.31999999</c:v>
                </c:pt>
                <c:pt idx="12">
                  <c:v>435016186.33999997</c:v>
                </c:pt>
                <c:pt idx="13">
                  <c:v>424876547.37</c:v>
                </c:pt>
                <c:pt idx="14">
                  <c:v>415869404.41000003</c:v>
                </c:pt>
                <c:pt idx="15">
                  <c:v>404114909.32999998</c:v>
                </c:pt>
                <c:pt idx="16">
                  <c:v>395269222.35000002</c:v>
                </c:pt>
                <c:pt idx="17">
                  <c:v>385284649.38999999</c:v>
                </c:pt>
                <c:pt idx="18">
                  <c:v>374856527.31999999</c:v>
                </c:pt>
                <c:pt idx="19">
                  <c:v>364612629.33999997</c:v>
                </c:pt>
                <c:pt idx="20">
                  <c:v>355071532.33999997</c:v>
                </c:pt>
                <c:pt idx="21">
                  <c:v>346436958.33999997</c:v>
                </c:pt>
                <c:pt idx="22">
                  <c:v>337984548.33999997</c:v>
                </c:pt>
                <c:pt idx="23">
                  <c:v>330147068.33999997</c:v>
                </c:pt>
                <c:pt idx="24">
                  <c:v>323138638.33999997</c:v>
                </c:pt>
                <c:pt idx="25">
                  <c:v>317046638.33999997</c:v>
                </c:pt>
                <c:pt idx="26">
                  <c:v>311839818.33999997</c:v>
                </c:pt>
                <c:pt idx="27">
                  <c:v>307500488.33999997</c:v>
                </c:pt>
                <c:pt idx="28">
                  <c:v>303935628.33999997</c:v>
                </c:pt>
                <c:pt idx="29">
                  <c:v>301043418.33999997</c:v>
                </c:pt>
                <c:pt idx="30">
                  <c:v>298683908.33999997</c:v>
                </c:pt>
                <c:pt idx="31">
                  <c:v>296662438.33999997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4-44CC-B28F-75D0C5A8D0E2}"/>
            </c:ext>
          </c:extLst>
        </c:ser>
        <c:ser>
          <c:idx val="2"/>
          <c:order val="2"/>
          <c:tx>
            <c:strRef>
              <c:f>'Total Energy'!$B$81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Energy'!$C$81:$AH$81</c:f>
              <c:numCache>
                <c:formatCode>General</c:formatCode>
                <c:ptCount val="32"/>
                <c:pt idx="0">
                  <c:v>452108148.43599999</c:v>
                </c:pt>
                <c:pt idx="1">
                  <c:v>452108144.05599999</c:v>
                </c:pt>
                <c:pt idx="2">
                  <c:v>452108149.21600002</c:v>
                </c:pt>
                <c:pt idx="3">
                  <c:v>452108147.85600001</c:v>
                </c:pt>
                <c:pt idx="4">
                  <c:v>452108138.81599998</c:v>
                </c:pt>
                <c:pt idx="5">
                  <c:v>452108142.87599999</c:v>
                </c:pt>
                <c:pt idx="6">
                  <c:v>452122687.31599998</c:v>
                </c:pt>
                <c:pt idx="7">
                  <c:v>452287880.815</c:v>
                </c:pt>
                <c:pt idx="8">
                  <c:v>452453084.81300002</c:v>
                </c:pt>
                <c:pt idx="9">
                  <c:v>452618289.02100003</c:v>
                </c:pt>
                <c:pt idx="10">
                  <c:v>452783501.61000001</c:v>
                </c:pt>
                <c:pt idx="11">
                  <c:v>452948703.07800001</c:v>
                </c:pt>
                <c:pt idx="12">
                  <c:v>453334194.42500001</c:v>
                </c:pt>
                <c:pt idx="13">
                  <c:v>453719657.861</c:v>
                </c:pt>
                <c:pt idx="14">
                  <c:v>454105155.917</c:v>
                </c:pt>
                <c:pt idx="15">
                  <c:v>454490631.384</c:v>
                </c:pt>
                <c:pt idx="16">
                  <c:v>454876125.92000002</c:v>
                </c:pt>
                <c:pt idx="17">
                  <c:v>455495624.37900001</c:v>
                </c:pt>
                <c:pt idx="18">
                  <c:v>456115151.13800001</c:v>
                </c:pt>
                <c:pt idx="19">
                  <c:v>456734671.75700003</c:v>
                </c:pt>
                <c:pt idx="20">
                  <c:v>457354204.60699999</c:v>
                </c:pt>
                <c:pt idx="21">
                  <c:v>457973720.09600002</c:v>
                </c:pt>
                <c:pt idx="22">
                  <c:v>458311013.81</c:v>
                </c:pt>
                <c:pt idx="23">
                  <c:v>458648311.09399998</c:v>
                </c:pt>
                <c:pt idx="24">
                  <c:v>458985610.61900002</c:v>
                </c:pt>
                <c:pt idx="25">
                  <c:v>459322904.89300001</c:v>
                </c:pt>
                <c:pt idx="26">
                  <c:v>459660198.89700001</c:v>
                </c:pt>
                <c:pt idx="27">
                  <c:v>459790982.759</c:v>
                </c:pt>
                <c:pt idx="28">
                  <c:v>459921771.50999999</c:v>
                </c:pt>
                <c:pt idx="29">
                  <c:v>460052561.48100001</c:v>
                </c:pt>
                <c:pt idx="30">
                  <c:v>460183359.792</c:v>
                </c:pt>
                <c:pt idx="31">
                  <c:v>460314138.62400001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94-44CC-B28F-75D0C5A8D0E2}"/>
            </c:ext>
          </c:extLst>
        </c:ser>
        <c:ser>
          <c:idx val="3"/>
          <c:order val="3"/>
          <c:tx>
            <c:strRef>
              <c:f>'Total Energy'!$B$86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Energy'!$C$86:$AH$86</c:f>
              <c:numCache>
                <c:formatCode>General</c:formatCode>
                <c:ptCount val="32"/>
                <c:pt idx="0">
                  <c:v>228596226.74200001</c:v>
                </c:pt>
                <c:pt idx="1">
                  <c:v>228057436.59200001</c:v>
                </c:pt>
                <c:pt idx="2">
                  <c:v>227436533.611</c:v>
                </c:pt>
                <c:pt idx="3">
                  <c:v>227399088.41299999</c:v>
                </c:pt>
                <c:pt idx="4">
                  <c:v>227554001.88299999</c:v>
                </c:pt>
                <c:pt idx="5">
                  <c:v>223669358.24599999</c:v>
                </c:pt>
                <c:pt idx="6">
                  <c:v>222680984.09200001</c:v>
                </c:pt>
                <c:pt idx="7">
                  <c:v>219537114.442</c:v>
                </c:pt>
                <c:pt idx="8">
                  <c:v>216561022.58199999</c:v>
                </c:pt>
                <c:pt idx="9">
                  <c:v>213802606.44999999</c:v>
                </c:pt>
                <c:pt idx="10">
                  <c:v>209951704.053</c:v>
                </c:pt>
                <c:pt idx="11">
                  <c:v>209124965.30000001</c:v>
                </c:pt>
                <c:pt idx="12">
                  <c:v>206697011.46079999</c:v>
                </c:pt>
                <c:pt idx="13">
                  <c:v>204431132.06920001</c:v>
                </c:pt>
                <c:pt idx="14">
                  <c:v>202214389.9553</c:v>
                </c:pt>
                <c:pt idx="15">
                  <c:v>198730164.57271001</c:v>
                </c:pt>
                <c:pt idx="16">
                  <c:v>198746397.02559</c:v>
                </c:pt>
                <c:pt idx="17">
                  <c:v>197249863.50556001</c:v>
                </c:pt>
                <c:pt idx="18">
                  <c:v>195519120.2112</c:v>
                </c:pt>
                <c:pt idx="19">
                  <c:v>193559865.74375999</c:v>
                </c:pt>
                <c:pt idx="20">
                  <c:v>190181834.89308</c:v>
                </c:pt>
                <c:pt idx="21">
                  <c:v>189183363.0372</c:v>
                </c:pt>
                <c:pt idx="22">
                  <c:v>186832460.06213</c:v>
                </c:pt>
                <c:pt idx="23">
                  <c:v>184415712.47830001</c:v>
                </c:pt>
                <c:pt idx="24">
                  <c:v>181939620.41637</c:v>
                </c:pt>
                <c:pt idx="25">
                  <c:v>178067528.08829001</c:v>
                </c:pt>
                <c:pt idx="26">
                  <c:v>176866820.2872</c:v>
                </c:pt>
                <c:pt idx="27">
                  <c:v>174278974.02982</c:v>
                </c:pt>
                <c:pt idx="28">
                  <c:v>171683522.97391999</c:v>
                </c:pt>
                <c:pt idx="29">
                  <c:v>169092841.73951</c:v>
                </c:pt>
                <c:pt idx="30">
                  <c:v>165156975.05276</c:v>
                </c:pt>
                <c:pt idx="31">
                  <c:v>163965732.71318001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94-44CC-B28F-75D0C5A8D0E2}"/>
            </c:ext>
          </c:extLst>
        </c:ser>
        <c:ser>
          <c:idx val="4"/>
          <c:order val="4"/>
          <c:tx>
            <c:strRef>
              <c:f>'Total Energy'!$B$84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Energy'!$C$84:$AH$84</c:f>
              <c:numCache>
                <c:formatCode>General</c:formatCode>
                <c:ptCount val="32"/>
                <c:pt idx="0">
                  <c:v>110616717.56999999</c:v>
                </c:pt>
                <c:pt idx="1">
                  <c:v>110804355.98999999</c:v>
                </c:pt>
                <c:pt idx="2">
                  <c:v>111594946.2</c:v>
                </c:pt>
                <c:pt idx="3">
                  <c:v>112511388.66</c:v>
                </c:pt>
                <c:pt idx="4">
                  <c:v>113437701.36</c:v>
                </c:pt>
                <c:pt idx="5">
                  <c:v>114366966.23</c:v>
                </c:pt>
                <c:pt idx="6">
                  <c:v>114911391.97</c:v>
                </c:pt>
                <c:pt idx="7">
                  <c:v>114955931.81</c:v>
                </c:pt>
                <c:pt idx="8">
                  <c:v>115003483.31</c:v>
                </c:pt>
                <c:pt idx="9">
                  <c:v>115053888.63</c:v>
                </c:pt>
                <c:pt idx="10">
                  <c:v>115105725.2</c:v>
                </c:pt>
                <c:pt idx="11">
                  <c:v>114825377.68000001</c:v>
                </c:pt>
                <c:pt idx="12">
                  <c:v>114470500.97</c:v>
                </c:pt>
                <c:pt idx="13">
                  <c:v>114115864.2</c:v>
                </c:pt>
                <c:pt idx="14">
                  <c:v>113761502.94</c:v>
                </c:pt>
                <c:pt idx="15">
                  <c:v>113407383.39</c:v>
                </c:pt>
                <c:pt idx="16">
                  <c:v>113103316.88</c:v>
                </c:pt>
                <c:pt idx="17">
                  <c:v>112742065.91</c:v>
                </c:pt>
                <c:pt idx="18">
                  <c:v>112352948.78</c:v>
                </c:pt>
                <c:pt idx="19">
                  <c:v>111902136.8</c:v>
                </c:pt>
                <c:pt idx="20">
                  <c:v>111400568.45</c:v>
                </c:pt>
                <c:pt idx="21">
                  <c:v>110922940.84999999</c:v>
                </c:pt>
                <c:pt idx="22">
                  <c:v>110484283.02</c:v>
                </c:pt>
                <c:pt idx="23">
                  <c:v>110045162.86</c:v>
                </c:pt>
                <c:pt idx="24">
                  <c:v>109605992.06999999</c:v>
                </c:pt>
                <c:pt idx="25">
                  <c:v>109166755.12</c:v>
                </c:pt>
                <c:pt idx="26">
                  <c:v>108735905.40000001</c:v>
                </c:pt>
                <c:pt idx="27">
                  <c:v>108312922.5</c:v>
                </c:pt>
                <c:pt idx="28">
                  <c:v>107890399.54000001</c:v>
                </c:pt>
                <c:pt idx="29">
                  <c:v>107468278.43000001</c:v>
                </c:pt>
                <c:pt idx="30">
                  <c:v>107046433.38</c:v>
                </c:pt>
                <c:pt idx="31">
                  <c:v>106630660.09999999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94-44CC-B28F-75D0C5A8D0E2}"/>
            </c:ext>
          </c:extLst>
        </c:ser>
        <c:ser>
          <c:idx val="5"/>
          <c:order val="5"/>
          <c:tx>
            <c:strRef>
              <c:f>'Total Energy'!$B$88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Energy'!$C$88:$AH$88</c:f>
              <c:numCache>
                <c:formatCode>General</c:formatCode>
                <c:ptCount val="32"/>
                <c:pt idx="0">
                  <c:v>71613249.542799994</c:v>
                </c:pt>
                <c:pt idx="1">
                  <c:v>71778356.482800007</c:v>
                </c:pt>
                <c:pt idx="2">
                  <c:v>71999027.222800002</c:v>
                </c:pt>
                <c:pt idx="3">
                  <c:v>72309843.412799999</c:v>
                </c:pt>
                <c:pt idx="4">
                  <c:v>72579115.142800003</c:v>
                </c:pt>
                <c:pt idx="5">
                  <c:v>72814580.1928</c:v>
                </c:pt>
                <c:pt idx="6">
                  <c:v>72927767.330799997</c:v>
                </c:pt>
                <c:pt idx="7">
                  <c:v>72892331.673800007</c:v>
                </c:pt>
                <c:pt idx="8">
                  <c:v>72813375.577800006</c:v>
                </c:pt>
                <c:pt idx="9">
                  <c:v>72691722.748799995</c:v>
                </c:pt>
                <c:pt idx="10">
                  <c:v>72307490.539800003</c:v>
                </c:pt>
                <c:pt idx="11">
                  <c:v>71799146.318800002</c:v>
                </c:pt>
                <c:pt idx="12">
                  <c:v>71221352.852799997</c:v>
                </c:pt>
                <c:pt idx="13">
                  <c:v>70599194.211799994</c:v>
                </c:pt>
                <c:pt idx="14">
                  <c:v>69945877.652799994</c:v>
                </c:pt>
                <c:pt idx="15">
                  <c:v>69271421.528799996</c:v>
                </c:pt>
                <c:pt idx="16">
                  <c:v>68706289.954799995</c:v>
                </c:pt>
                <c:pt idx="17">
                  <c:v>68182372.865800008</c:v>
                </c:pt>
                <c:pt idx="18">
                  <c:v>67710523.838799998</c:v>
                </c:pt>
                <c:pt idx="19">
                  <c:v>67279835.766800001</c:v>
                </c:pt>
                <c:pt idx="20">
                  <c:v>66890499.888800003</c:v>
                </c:pt>
                <c:pt idx="21">
                  <c:v>66556984.627800003</c:v>
                </c:pt>
                <c:pt idx="22">
                  <c:v>66254616.329800002</c:v>
                </c:pt>
                <c:pt idx="23">
                  <c:v>66021240.751800001</c:v>
                </c:pt>
                <c:pt idx="24">
                  <c:v>65863296.867799997</c:v>
                </c:pt>
                <c:pt idx="25">
                  <c:v>65779919.603799999</c:v>
                </c:pt>
                <c:pt idx="26">
                  <c:v>65761694.099799998</c:v>
                </c:pt>
                <c:pt idx="27">
                  <c:v>65766674.211800002</c:v>
                </c:pt>
                <c:pt idx="28">
                  <c:v>65800295.974799998</c:v>
                </c:pt>
                <c:pt idx="29">
                  <c:v>65847796.443800002</c:v>
                </c:pt>
                <c:pt idx="30">
                  <c:v>65900479.863799997</c:v>
                </c:pt>
                <c:pt idx="31">
                  <c:v>65955036.014799997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94-44CC-B28F-75D0C5A8D0E2}"/>
            </c:ext>
          </c:extLst>
        </c:ser>
        <c:ser>
          <c:idx val="6"/>
          <c:order val="6"/>
          <c:tx>
            <c:strRef>
              <c:f>'Total Energy'!$B$82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Energy'!$C$82:$AH$82</c:f>
              <c:numCache>
                <c:formatCode>General</c:formatCode>
                <c:ptCount val="32"/>
                <c:pt idx="0">
                  <c:v>47932011.942000002</c:v>
                </c:pt>
                <c:pt idx="1">
                  <c:v>47837688.825999998</c:v>
                </c:pt>
                <c:pt idx="2">
                  <c:v>48076486.318999998</c:v>
                </c:pt>
                <c:pt idx="3">
                  <c:v>48319977.028999999</c:v>
                </c:pt>
                <c:pt idx="4">
                  <c:v>48563889.717</c:v>
                </c:pt>
                <c:pt idx="5">
                  <c:v>48807903.233999997</c:v>
                </c:pt>
                <c:pt idx="6">
                  <c:v>48861939.770000003</c:v>
                </c:pt>
                <c:pt idx="7">
                  <c:v>48702849.592999987</c:v>
                </c:pt>
                <c:pt idx="8">
                  <c:v>48544584.413000003</c:v>
                </c:pt>
                <c:pt idx="9">
                  <c:v>48387151.623999998</c:v>
                </c:pt>
                <c:pt idx="10">
                  <c:v>48230475.629000001</c:v>
                </c:pt>
                <c:pt idx="11">
                  <c:v>47924142.177000001</c:v>
                </c:pt>
                <c:pt idx="12">
                  <c:v>47596366.066</c:v>
                </c:pt>
                <c:pt idx="13">
                  <c:v>47268597.456</c:v>
                </c:pt>
                <c:pt idx="14">
                  <c:v>46940831.826000012</c:v>
                </c:pt>
                <c:pt idx="15">
                  <c:v>46613067.767999999</c:v>
                </c:pt>
                <c:pt idx="16">
                  <c:v>46287696.673</c:v>
                </c:pt>
                <c:pt idx="17">
                  <c:v>45946534.570999987</c:v>
                </c:pt>
                <c:pt idx="18">
                  <c:v>45586595.795999996</c:v>
                </c:pt>
                <c:pt idx="19">
                  <c:v>45185439.398999996</c:v>
                </c:pt>
                <c:pt idx="20">
                  <c:v>44750114.634000003</c:v>
                </c:pt>
                <c:pt idx="21">
                  <c:v>44316292.665999994</c:v>
                </c:pt>
                <c:pt idx="22">
                  <c:v>43894677.619000003</c:v>
                </c:pt>
                <c:pt idx="23">
                  <c:v>43472779.296999998</c:v>
                </c:pt>
                <c:pt idx="24">
                  <c:v>43050877.776000001</c:v>
                </c:pt>
                <c:pt idx="25">
                  <c:v>42629025.721000001</c:v>
                </c:pt>
                <c:pt idx="26">
                  <c:v>42210037.027999997</c:v>
                </c:pt>
                <c:pt idx="27">
                  <c:v>41796601.858000003</c:v>
                </c:pt>
                <c:pt idx="28">
                  <c:v>41384206.989</c:v>
                </c:pt>
                <c:pt idx="29">
                  <c:v>40972622</c:v>
                </c:pt>
                <c:pt idx="30">
                  <c:v>40561517.913999997</c:v>
                </c:pt>
                <c:pt idx="31">
                  <c:v>40152081.614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94-44CC-B28F-75D0C5A8D0E2}"/>
            </c:ext>
          </c:extLst>
        </c:ser>
        <c:ser>
          <c:idx val="7"/>
          <c:order val="7"/>
          <c:tx>
            <c:strRef>
              <c:f>'Total Energy'!$B$83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Energy'!$C$83:$AH$83</c:f>
              <c:numCache>
                <c:formatCode>General</c:formatCode>
                <c:ptCount val="32"/>
                <c:pt idx="0">
                  <c:v>25078806.98</c:v>
                </c:pt>
                <c:pt idx="1">
                  <c:v>25207328.789999999</c:v>
                </c:pt>
                <c:pt idx="2">
                  <c:v>25301516.219999999</c:v>
                </c:pt>
                <c:pt idx="3">
                  <c:v>25480775.140000001</c:v>
                </c:pt>
                <c:pt idx="4">
                  <c:v>25666510.960000001</c:v>
                </c:pt>
                <c:pt idx="5">
                  <c:v>25854084.120000001</c:v>
                </c:pt>
                <c:pt idx="6">
                  <c:v>25930919.609999999</c:v>
                </c:pt>
                <c:pt idx="7">
                  <c:v>25996597.140000001</c:v>
                </c:pt>
                <c:pt idx="8">
                  <c:v>26063188.219999999</c:v>
                </c:pt>
                <c:pt idx="9">
                  <c:v>26130667.73</c:v>
                </c:pt>
                <c:pt idx="10">
                  <c:v>26198147.030000001</c:v>
                </c:pt>
                <c:pt idx="11">
                  <c:v>26153012.149999999</c:v>
                </c:pt>
                <c:pt idx="12">
                  <c:v>26100967.530000001</c:v>
                </c:pt>
                <c:pt idx="13">
                  <c:v>26048926.170000002</c:v>
                </c:pt>
                <c:pt idx="14">
                  <c:v>25996882.629999999</c:v>
                </c:pt>
                <c:pt idx="15">
                  <c:v>25944833.989999998</c:v>
                </c:pt>
                <c:pt idx="16">
                  <c:v>25927697.5</c:v>
                </c:pt>
                <c:pt idx="17">
                  <c:v>25898263.539999999</c:v>
                </c:pt>
                <c:pt idx="18">
                  <c:v>25868836.77</c:v>
                </c:pt>
                <c:pt idx="19">
                  <c:v>25839395.149999999</c:v>
                </c:pt>
                <c:pt idx="20">
                  <c:v>25809967.649999999</c:v>
                </c:pt>
                <c:pt idx="21">
                  <c:v>25796472.120000001</c:v>
                </c:pt>
                <c:pt idx="22">
                  <c:v>25774022.199999999</c:v>
                </c:pt>
                <c:pt idx="23">
                  <c:v>25751563.670000002</c:v>
                </c:pt>
                <c:pt idx="24">
                  <c:v>25729107</c:v>
                </c:pt>
                <c:pt idx="25">
                  <c:v>25706651.969999999</c:v>
                </c:pt>
                <c:pt idx="26">
                  <c:v>25687650.129999999</c:v>
                </c:pt>
                <c:pt idx="27">
                  <c:v>25662188.02</c:v>
                </c:pt>
                <c:pt idx="28">
                  <c:v>25636715.789999999</c:v>
                </c:pt>
                <c:pt idx="29">
                  <c:v>25611244.920000002</c:v>
                </c:pt>
                <c:pt idx="30">
                  <c:v>25585781.219999999</c:v>
                </c:pt>
                <c:pt idx="31">
                  <c:v>25562921.59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94-44CC-B28F-75D0C5A8D0E2}"/>
            </c:ext>
          </c:extLst>
        </c:ser>
        <c:ser>
          <c:idx val="8"/>
          <c:order val="8"/>
          <c:tx>
            <c:strRef>
              <c:f>'Total Energy'!$B$85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Energy'!$C$85:$AH$85</c:f>
              <c:numCache>
                <c:formatCode>General</c:formatCode>
                <c:ptCount val="32"/>
                <c:pt idx="0">
                  <c:v>11701098.921</c:v>
                </c:pt>
                <c:pt idx="1">
                  <c:v>11853983.017000001</c:v>
                </c:pt>
                <c:pt idx="2">
                  <c:v>12018937.094000001</c:v>
                </c:pt>
                <c:pt idx="3">
                  <c:v>12192354.981000001</c:v>
                </c:pt>
                <c:pt idx="4">
                  <c:v>12368083.064999999</c:v>
                </c:pt>
                <c:pt idx="5">
                  <c:v>12389434.589</c:v>
                </c:pt>
                <c:pt idx="6">
                  <c:v>12379814.898</c:v>
                </c:pt>
                <c:pt idx="7">
                  <c:v>12319759.217</c:v>
                </c:pt>
                <c:pt idx="8">
                  <c:v>12262469.096999999</c:v>
                </c:pt>
                <c:pt idx="9">
                  <c:v>12201222.640000001</c:v>
                </c:pt>
                <c:pt idx="10">
                  <c:v>12200740.333000001</c:v>
                </c:pt>
                <c:pt idx="11">
                  <c:v>12156454.213</c:v>
                </c:pt>
                <c:pt idx="12">
                  <c:v>12099360.623</c:v>
                </c:pt>
                <c:pt idx="13">
                  <c:v>12040586.012</c:v>
                </c:pt>
                <c:pt idx="14">
                  <c:v>11982227.357999999</c:v>
                </c:pt>
                <c:pt idx="15">
                  <c:v>11925304.153000001</c:v>
                </c:pt>
                <c:pt idx="16">
                  <c:v>11941488.911</c:v>
                </c:pt>
                <c:pt idx="17">
                  <c:v>11956139.517000001</c:v>
                </c:pt>
                <c:pt idx="18">
                  <c:v>11971321.550000001</c:v>
                </c:pt>
                <c:pt idx="19">
                  <c:v>11985652.399</c:v>
                </c:pt>
                <c:pt idx="20">
                  <c:v>11999026.249</c:v>
                </c:pt>
                <c:pt idx="21">
                  <c:v>12013327.517999999</c:v>
                </c:pt>
                <c:pt idx="22">
                  <c:v>12028089.747</c:v>
                </c:pt>
                <c:pt idx="23">
                  <c:v>12043105.630000001</c:v>
                </c:pt>
                <c:pt idx="24">
                  <c:v>12058343.867000001</c:v>
                </c:pt>
                <c:pt idx="25">
                  <c:v>12073813.522</c:v>
                </c:pt>
                <c:pt idx="26">
                  <c:v>12089460.796</c:v>
                </c:pt>
                <c:pt idx="27">
                  <c:v>12105998.926999999</c:v>
                </c:pt>
                <c:pt idx="28">
                  <c:v>12122271.716</c:v>
                </c:pt>
                <c:pt idx="29">
                  <c:v>12138131.332</c:v>
                </c:pt>
                <c:pt idx="30">
                  <c:v>12153475.195</c:v>
                </c:pt>
                <c:pt idx="31">
                  <c:v>12168197.403000001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94-44CC-B28F-75D0C5A8D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50001"/>
        <c:axId val="50450002"/>
      </c:areaChart>
      <c:catAx>
        <c:axId val="504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50002"/>
        <c:crosses val="autoZero"/>
        <c:auto val="1"/>
        <c:lblAlgn val="ctr"/>
        <c:lblOffset val="100"/>
        <c:tickLblSkip val="2"/>
        <c:noMultiLvlLbl val="0"/>
      </c:catAx>
      <c:valAx>
        <c:axId val="504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5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Energy'!$B$80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Energy'!$C$80,'Total Energy'!$AH$80)</c:f>
              <c:numCache>
                <c:formatCode>General</c:formatCode>
                <c:ptCount val="2"/>
                <c:pt idx="0">
                  <c:v>653072660.62</c:v>
                </c:pt>
                <c:pt idx="1">
                  <c:v>504584566.48000002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C-46B4-9A0E-63588CFAFBF2}"/>
            </c:ext>
          </c:extLst>
        </c:ser>
        <c:ser>
          <c:idx val="1"/>
          <c:order val="1"/>
          <c:tx>
            <c:strRef>
              <c:f>'Total Energy'!$B$87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Energy'!$C$87,'Total Energy'!$AH$87)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296662438.33999997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C-46B4-9A0E-63588CFAFBF2}"/>
            </c:ext>
          </c:extLst>
        </c:ser>
        <c:ser>
          <c:idx val="2"/>
          <c:order val="2"/>
          <c:tx>
            <c:strRef>
              <c:f>'Total Energy'!$B$81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Energy'!$C$81,'Total Energy'!$AH$81)</c:f>
              <c:numCache>
                <c:formatCode>General</c:formatCode>
                <c:ptCount val="2"/>
                <c:pt idx="0">
                  <c:v>452108148.43599999</c:v>
                </c:pt>
                <c:pt idx="1">
                  <c:v>460314138.62400001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C-46B4-9A0E-63588CFAFBF2}"/>
            </c:ext>
          </c:extLst>
        </c:ser>
        <c:ser>
          <c:idx val="3"/>
          <c:order val="3"/>
          <c:tx>
            <c:strRef>
              <c:f>'Total Energy'!$B$86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Energy'!$C$86,'Total Energy'!$AH$86)</c:f>
              <c:numCache>
                <c:formatCode>General</c:formatCode>
                <c:ptCount val="2"/>
                <c:pt idx="0">
                  <c:v>228596226.74200001</c:v>
                </c:pt>
                <c:pt idx="1">
                  <c:v>163965732.71318001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DC-46B4-9A0E-63588CFAFBF2}"/>
            </c:ext>
          </c:extLst>
        </c:ser>
        <c:ser>
          <c:idx val="4"/>
          <c:order val="4"/>
          <c:tx>
            <c:strRef>
              <c:f>'Total Energy'!$B$84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Energy'!$C$84,'Total Energy'!$AH$84)</c:f>
              <c:numCache>
                <c:formatCode>General</c:formatCode>
                <c:ptCount val="2"/>
                <c:pt idx="0">
                  <c:v>110616717.56999999</c:v>
                </c:pt>
                <c:pt idx="1">
                  <c:v>106630660.09999999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DC-46B4-9A0E-63588CFAFBF2}"/>
            </c:ext>
          </c:extLst>
        </c:ser>
        <c:ser>
          <c:idx val="5"/>
          <c:order val="5"/>
          <c:tx>
            <c:strRef>
              <c:f>'Total Energy'!$B$88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Energy'!$C$88,'Total Energy'!$AH$88)</c:f>
              <c:numCache>
                <c:formatCode>General</c:formatCode>
                <c:ptCount val="2"/>
                <c:pt idx="0">
                  <c:v>71613249.542799994</c:v>
                </c:pt>
                <c:pt idx="1">
                  <c:v>65955036.014799997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DC-46B4-9A0E-63588CFAFBF2}"/>
            </c:ext>
          </c:extLst>
        </c:ser>
        <c:ser>
          <c:idx val="6"/>
          <c:order val="6"/>
          <c:tx>
            <c:strRef>
              <c:f>'Total Energy'!$B$82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Energy'!$C$82,'Total Energy'!$AH$82)</c:f>
              <c:numCache>
                <c:formatCode>General</c:formatCode>
                <c:ptCount val="2"/>
                <c:pt idx="0">
                  <c:v>47932011.942000002</c:v>
                </c:pt>
                <c:pt idx="1">
                  <c:v>40152081.614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DC-46B4-9A0E-63588CFAFBF2}"/>
            </c:ext>
          </c:extLst>
        </c:ser>
        <c:ser>
          <c:idx val="7"/>
          <c:order val="7"/>
          <c:tx>
            <c:strRef>
              <c:f>'Total Energy'!$B$83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Energy'!$C$83,'Total Energy'!$AH$83)</c:f>
              <c:numCache>
                <c:formatCode>General</c:formatCode>
                <c:ptCount val="2"/>
                <c:pt idx="0">
                  <c:v>25078806.98</c:v>
                </c:pt>
                <c:pt idx="1">
                  <c:v>25562921.59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DC-46B4-9A0E-63588CFAFBF2}"/>
            </c:ext>
          </c:extLst>
        </c:ser>
        <c:ser>
          <c:idx val="8"/>
          <c:order val="8"/>
          <c:tx>
            <c:strRef>
              <c:f>'Total Energy'!$B$85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Energy'!$C$85,'Total Energy'!$AH$85)</c:f>
              <c:numCache>
                <c:formatCode>General</c:formatCode>
                <c:ptCount val="2"/>
                <c:pt idx="0">
                  <c:v>11701098.921</c:v>
                </c:pt>
                <c:pt idx="1">
                  <c:v>12168197.403000001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DC-46B4-9A0E-63588CFA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60001"/>
        <c:axId val="50460002"/>
      </c:barChart>
      <c:catAx>
        <c:axId val="504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60002"/>
        <c:crosses val="autoZero"/>
        <c:auto val="1"/>
        <c:lblAlgn val="ctr"/>
        <c:lblOffset val="100"/>
        <c:noMultiLvlLbl val="0"/>
      </c:catAx>
      <c:valAx>
        <c:axId val="504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6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Energy'!$B$90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Energy'!$C$90:$AH$90</c:f>
              <c:numCache>
                <c:formatCode>General</c:formatCode>
                <c:ptCount val="32"/>
                <c:pt idx="0">
                  <c:v>653072660.62</c:v>
                </c:pt>
                <c:pt idx="1">
                  <c:v>653072650.62</c:v>
                </c:pt>
                <c:pt idx="2">
                  <c:v>653072660.81999993</c:v>
                </c:pt>
                <c:pt idx="3">
                  <c:v>653072660.72000003</c:v>
                </c:pt>
                <c:pt idx="4">
                  <c:v>653072660.62</c:v>
                </c:pt>
                <c:pt idx="5">
                  <c:v>653072660.72000003</c:v>
                </c:pt>
                <c:pt idx="6">
                  <c:v>653072650.62</c:v>
                </c:pt>
                <c:pt idx="7">
                  <c:v>653072660.81999993</c:v>
                </c:pt>
                <c:pt idx="8">
                  <c:v>653072650.62</c:v>
                </c:pt>
                <c:pt idx="9">
                  <c:v>653072660.62</c:v>
                </c:pt>
                <c:pt idx="10">
                  <c:v>653072650.61000001</c:v>
                </c:pt>
                <c:pt idx="11">
                  <c:v>653072660.81999993</c:v>
                </c:pt>
                <c:pt idx="12">
                  <c:v>653072660.62</c:v>
                </c:pt>
                <c:pt idx="13">
                  <c:v>653072660.72000003</c:v>
                </c:pt>
                <c:pt idx="14">
                  <c:v>653072660.81999993</c:v>
                </c:pt>
                <c:pt idx="15">
                  <c:v>653072660.62</c:v>
                </c:pt>
                <c:pt idx="16">
                  <c:v>653072650.61000001</c:v>
                </c:pt>
                <c:pt idx="17">
                  <c:v>653072660.62</c:v>
                </c:pt>
                <c:pt idx="18">
                  <c:v>653072660.72000003</c:v>
                </c:pt>
                <c:pt idx="19">
                  <c:v>653072650.62</c:v>
                </c:pt>
                <c:pt idx="20">
                  <c:v>653072660.72000003</c:v>
                </c:pt>
                <c:pt idx="21">
                  <c:v>653072660.81999993</c:v>
                </c:pt>
                <c:pt idx="22">
                  <c:v>653072650.62</c:v>
                </c:pt>
                <c:pt idx="23">
                  <c:v>653072660.81999993</c:v>
                </c:pt>
                <c:pt idx="24">
                  <c:v>653072660.62</c:v>
                </c:pt>
                <c:pt idx="25">
                  <c:v>653072660.81999993</c:v>
                </c:pt>
                <c:pt idx="26">
                  <c:v>653072660.72000003</c:v>
                </c:pt>
                <c:pt idx="27">
                  <c:v>653072660.81999993</c:v>
                </c:pt>
                <c:pt idx="28">
                  <c:v>653072660.81999993</c:v>
                </c:pt>
                <c:pt idx="29">
                  <c:v>653072680.82999992</c:v>
                </c:pt>
                <c:pt idx="30">
                  <c:v>653072660.81999993</c:v>
                </c:pt>
                <c:pt idx="31">
                  <c:v>653072660.81999993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4-4C82-9D2E-A02034E8D15B}"/>
            </c:ext>
          </c:extLst>
        </c:ser>
        <c:ser>
          <c:idx val="1"/>
          <c:order val="1"/>
          <c:tx>
            <c:strRef>
              <c:f>'Total Energy'!$B$97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Energy'!$C$97:$AH$97</c:f>
              <c:numCache>
                <c:formatCode>General</c:formatCode>
                <c:ptCount val="32"/>
                <c:pt idx="0">
                  <c:v>590226101.63999999</c:v>
                </c:pt>
                <c:pt idx="1">
                  <c:v>582766960.03999996</c:v>
                </c:pt>
                <c:pt idx="2">
                  <c:v>582948591.34000003</c:v>
                </c:pt>
                <c:pt idx="3">
                  <c:v>579537050.34000003</c:v>
                </c:pt>
                <c:pt idx="4">
                  <c:v>577223367.34000003</c:v>
                </c:pt>
                <c:pt idx="5">
                  <c:v>571302352.34000003</c:v>
                </c:pt>
                <c:pt idx="6">
                  <c:v>552912874.34000003</c:v>
                </c:pt>
                <c:pt idx="7">
                  <c:v>542716151.34000003</c:v>
                </c:pt>
                <c:pt idx="8">
                  <c:v>531525035.33999997</c:v>
                </c:pt>
                <c:pt idx="9">
                  <c:v>520395565.33999997</c:v>
                </c:pt>
                <c:pt idx="10">
                  <c:v>510628265.33999997</c:v>
                </c:pt>
                <c:pt idx="11">
                  <c:v>504801527.33999997</c:v>
                </c:pt>
                <c:pt idx="12">
                  <c:v>501495698.33999997</c:v>
                </c:pt>
                <c:pt idx="13">
                  <c:v>500517662.33999997</c:v>
                </c:pt>
                <c:pt idx="14">
                  <c:v>500689958.33999997</c:v>
                </c:pt>
                <c:pt idx="15">
                  <c:v>499049384.33999997</c:v>
                </c:pt>
                <c:pt idx="16">
                  <c:v>499921446.33999997</c:v>
                </c:pt>
                <c:pt idx="17">
                  <c:v>500140573.33999997</c:v>
                </c:pt>
                <c:pt idx="18">
                  <c:v>500330623.33999997</c:v>
                </c:pt>
                <c:pt idx="19">
                  <c:v>500714937.33999997</c:v>
                </c:pt>
                <c:pt idx="20">
                  <c:v>501572197.33999997</c:v>
                </c:pt>
                <c:pt idx="21">
                  <c:v>502846766.33999997</c:v>
                </c:pt>
                <c:pt idx="22">
                  <c:v>503835522.33999997</c:v>
                </c:pt>
                <c:pt idx="23">
                  <c:v>504690820.33999997</c:v>
                </c:pt>
                <c:pt idx="24">
                  <c:v>505475292.33999997</c:v>
                </c:pt>
                <c:pt idx="25">
                  <c:v>506330309.33999997</c:v>
                </c:pt>
                <c:pt idx="26">
                  <c:v>507360797.33999997</c:v>
                </c:pt>
                <c:pt idx="27">
                  <c:v>508666375.33999997</c:v>
                </c:pt>
                <c:pt idx="28">
                  <c:v>510301145.33999997</c:v>
                </c:pt>
                <c:pt idx="29">
                  <c:v>512282921.33999997</c:v>
                </c:pt>
                <c:pt idx="30">
                  <c:v>514574729.33999997</c:v>
                </c:pt>
                <c:pt idx="31">
                  <c:v>517016785.33999997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4-4C82-9D2E-A02034E8D15B}"/>
            </c:ext>
          </c:extLst>
        </c:ser>
        <c:ser>
          <c:idx val="2"/>
          <c:order val="2"/>
          <c:tx>
            <c:strRef>
              <c:f>'Total Energy'!$B$91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Energy'!$C$91:$AH$91</c:f>
              <c:numCache>
                <c:formatCode>General</c:formatCode>
                <c:ptCount val="32"/>
                <c:pt idx="0">
                  <c:v>452108148.43599999</c:v>
                </c:pt>
                <c:pt idx="1">
                  <c:v>452108143.62599999</c:v>
                </c:pt>
                <c:pt idx="2">
                  <c:v>452108143.68599999</c:v>
                </c:pt>
                <c:pt idx="3">
                  <c:v>452108140.926</c:v>
                </c:pt>
                <c:pt idx="4">
                  <c:v>452108147.43599999</c:v>
                </c:pt>
                <c:pt idx="5">
                  <c:v>452108144.85600001</c:v>
                </c:pt>
                <c:pt idx="6">
                  <c:v>452108145.28600001</c:v>
                </c:pt>
                <c:pt idx="7">
                  <c:v>452273333.66500002</c:v>
                </c:pt>
                <c:pt idx="8">
                  <c:v>452438534.75300002</c:v>
                </c:pt>
                <c:pt idx="9">
                  <c:v>452603729.16100001</c:v>
                </c:pt>
                <c:pt idx="10">
                  <c:v>452768931.97000003</c:v>
                </c:pt>
                <c:pt idx="11">
                  <c:v>452934121.18800002</c:v>
                </c:pt>
                <c:pt idx="12">
                  <c:v>453319582.66500002</c:v>
                </c:pt>
                <c:pt idx="13">
                  <c:v>453705031.84100002</c:v>
                </c:pt>
                <c:pt idx="14">
                  <c:v>454090495.83700001</c:v>
                </c:pt>
                <c:pt idx="15">
                  <c:v>454475953.17400002</c:v>
                </c:pt>
                <c:pt idx="16">
                  <c:v>454861418.57999998</c:v>
                </c:pt>
                <c:pt idx="17">
                  <c:v>455480896.01899999</c:v>
                </c:pt>
                <c:pt idx="18">
                  <c:v>456100392.648</c:v>
                </c:pt>
                <c:pt idx="19">
                  <c:v>456719881.597</c:v>
                </c:pt>
                <c:pt idx="20">
                  <c:v>457339369.88700002</c:v>
                </c:pt>
                <c:pt idx="21">
                  <c:v>457958848.486</c:v>
                </c:pt>
                <c:pt idx="22">
                  <c:v>458296124.63999999</c:v>
                </c:pt>
                <c:pt idx="23">
                  <c:v>458633401.40399998</c:v>
                </c:pt>
                <c:pt idx="24">
                  <c:v>458970687.76899999</c:v>
                </c:pt>
                <c:pt idx="25">
                  <c:v>459307956.713</c:v>
                </c:pt>
                <c:pt idx="26">
                  <c:v>459645224.14700001</c:v>
                </c:pt>
                <c:pt idx="27">
                  <c:v>459776017.95899999</c:v>
                </c:pt>
                <c:pt idx="28">
                  <c:v>459906793.32999998</c:v>
                </c:pt>
                <c:pt idx="29">
                  <c:v>460037577.31099999</c:v>
                </c:pt>
                <c:pt idx="30">
                  <c:v>460168363.88200003</c:v>
                </c:pt>
                <c:pt idx="31">
                  <c:v>460299129.75400001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4-4C82-9D2E-A02034E8D15B}"/>
            </c:ext>
          </c:extLst>
        </c:ser>
        <c:ser>
          <c:idx val="3"/>
          <c:order val="3"/>
          <c:tx>
            <c:strRef>
              <c:f>'Total Energy'!$B$96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Energy'!$C$96:$AH$96</c:f>
              <c:numCache>
                <c:formatCode>General</c:formatCode>
                <c:ptCount val="32"/>
                <c:pt idx="0">
                  <c:v>228596226.74200001</c:v>
                </c:pt>
                <c:pt idx="1">
                  <c:v>228878645.37099999</c:v>
                </c:pt>
                <c:pt idx="2">
                  <c:v>228975847.86399999</c:v>
                </c:pt>
                <c:pt idx="3">
                  <c:v>229470143.64300001</c:v>
                </c:pt>
                <c:pt idx="4">
                  <c:v>229979637.192</c:v>
                </c:pt>
                <c:pt idx="5">
                  <c:v>230481501.93399999</c:v>
                </c:pt>
                <c:pt idx="6">
                  <c:v>230962484.176</c:v>
                </c:pt>
                <c:pt idx="7">
                  <c:v>230688902.18399999</c:v>
                </c:pt>
                <c:pt idx="8">
                  <c:v>230413259.289</c:v>
                </c:pt>
                <c:pt idx="9">
                  <c:v>230133121.315</c:v>
                </c:pt>
                <c:pt idx="10">
                  <c:v>229840083.51800001</c:v>
                </c:pt>
                <c:pt idx="11">
                  <c:v>229534092.05599999</c:v>
                </c:pt>
                <c:pt idx="12">
                  <c:v>229050636.27900001</c:v>
                </c:pt>
                <c:pt idx="13">
                  <c:v>228557388.204</c:v>
                </c:pt>
                <c:pt idx="14">
                  <c:v>228055641.21799999</c:v>
                </c:pt>
                <c:pt idx="15">
                  <c:v>227545533.05399999</c:v>
                </c:pt>
                <c:pt idx="16">
                  <c:v>227026643.05899999</c:v>
                </c:pt>
                <c:pt idx="17">
                  <c:v>226311053.01499999</c:v>
                </c:pt>
                <c:pt idx="18">
                  <c:v>225587895.13600001</c:v>
                </c:pt>
                <c:pt idx="19">
                  <c:v>224857131.69400001</c:v>
                </c:pt>
                <c:pt idx="20">
                  <c:v>224118735.57699999</c:v>
                </c:pt>
                <c:pt idx="21">
                  <c:v>223372686.80599999</c:v>
                </c:pt>
                <c:pt idx="22">
                  <c:v>222602481.26199999</c:v>
                </c:pt>
                <c:pt idx="23">
                  <c:v>221824453.66499999</c:v>
                </c:pt>
                <c:pt idx="24">
                  <c:v>221038631.097</c:v>
                </c:pt>
                <c:pt idx="25">
                  <c:v>220245765.433</c:v>
                </c:pt>
                <c:pt idx="26">
                  <c:v>219455502.627</c:v>
                </c:pt>
                <c:pt idx="27">
                  <c:v>218649492.61899999</c:v>
                </c:pt>
                <c:pt idx="28">
                  <c:v>217851002.15799999</c:v>
                </c:pt>
                <c:pt idx="29">
                  <c:v>217056536.27000001</c:v>
                </c:pt>
                <c:pt idx="30">
                  <c:v>216259665.30399999</c:v>
                </c:pt>
                <c:pt idx="31">
                  <c:v>215458093.59200001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04-4C82-9D2E-A02034E8D15B}"/>
            </c:ext>
          </c:extLst>
        </c:ser>
        <c:ser>
          <c:idx val="4"/>
          <c:order val="4"/>
          <c:tx>
            <c:strRef>
              <c:f>'Total Energy'!$B$94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Energy'!$C$94:$AH$94</c:f>
              <c:numCache>
                <c:formatCode>General</c:formatCode>
                <c:ptCount val="32"/>
                <c:pt idx="0">
                  <c:v>110616717.56999999</c:v>
                </c:pt>
                <c:pt idx="1">
                  <c:v>111044294.37</c:v>
                </c:pt>
                <c:pt idx="2">
                  <c:v>112165790.63</c:v>
                </c:pt>
                <c:pt idx="3">
                  <c:v>113444009.26000001</c:v>
                </c:pt>
                <c:pt idx="4">
                  <c:v>114734158.84999999</c:v>
                </c:pt>
                <c:pt idx="5">
                  <c:v>116027643.97</c:v>
                </c:pt>
                <c:pt idx="6">
                  <c:v>117320898.92</c:v>
                </c:pt>
                <c:pt idx="7">
                  <c:v>117928965.7</c:v>
                </c:pt>
                <c:pt idx="8">
                  <c:v>118540863.05</c:v>
                </c:pt>
                <c:pt idx="9">
                  <c:v>119156342.15000001</c:v>
                </c:pt>
                <c:pt idx="10">
                  <c:v>119773020.34999999</c:v>
                </c:pt>
                <c:pt idx="11">
                  <c:v>120390920.31999999</c:v>
                </c:pt>
                <c:pt idx="12">
                  <c:v>120869448.54000001</c:v>
                </c:pt>
                <c:pt idx="13">
                  <c:v>121347715.84</c:v>
                </c:pt>
                <c:pt idx="14">
                  <c:v>121825856.93000001</c:v>
                </c:pt>
                <c:pt idx="15">
                  <c:v>122303835.90000001</c:v>
                </c:pt>
                <c:pt idx="16">
                  <c:v>122781605.36</c:v>
                </c:pt>
                <c:pt idx="17">
                  <c:v>123169535.15000001</c:v>
                </c:pt>
                <c:pt idx="18">
                  <c:v>123557225.7</c:v>
                </c:pt>
                <c:pt idx="19">
                  <c:v>123944665.66</c:v>
                </c:pt>
                <c:pt idx="20">
                  <c:v>124331876.04000001</c:v>
                </c:pt>
                <c:pt idx="21">
                  <c:v>124718827.75</c:v>
                </c:pt>
                <c:pt idx="22">
                  <c:v>125175198.04000001</c:v>
                </c:pt>
                <c:pt idx="23">
                  <c:v>125631339.29000001</c:v>
                </c:pt>
                <c:pt idx="24">
                  <c:v>126087300.53</c:v>
                </c:pt>
                <c:pt idx="25">
                  <c:v>126543041.55</c:v>
                </c:pt>
                <c:pt idx="26">
                  <c:v>126998841.15000001</c:v>
                </c:pt>
                <c:pt idx="27">
                  <c:v>127462176.73999999</c:v>
                </c:pt>
                <c:pt idx="28">
                  <c:v>127925740.48999999</c:v>
                </c:pt>
                <c:pt idx="29">
                  <c:v>128389433.3</c:v>
                </c:pt>
                <c:pt idx="30">
                  <c:v>128853102.92</c:v>
                </c:pt>
                <c:pt idx="31">
                  <c:v>129316630.05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04-4C82-9D2E-A02034E8D15B}"/>
            </c:ext>
          </c:extLst>
        </c:ser>
        <c:ser>
          <c:idx val="5"/>
          <c:order val="5"/>
          <c:tx>
            <c:strRef>
              <c:f>'Total Energy'!$B$98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Energy'!$C$98:$AH$98</c:f>
              <c:numCache>
                <c:formatCode>General</c:formatCode>
                <c:ptCount val="32"/>
                <c:pt idx="0">
                  <c:v>71613249.542799994</c:v>
                </c:pt>
                <c:pt idx="1">
                  <c:v>71820424.822799996</c:v>
                </c:pt>
                <c:pt idx="2">
                  <c:v>72164204.212799996</c:v>
                </c:pt>
                <c:pt idx="3">
                  <c:v>72645901.352799997</c:v>
                </c:pt>
                <c:pt idx="4">
                  <c:v>73129859.562800005</c:v>
                </c:pt>
                <c:pt idx="5">
                  <c:v>73607338.5528</c:v>
                </c:pt>
                <c:pt idx="6">
                  <c:v>74076552.542799994</c:v>
                </c:pt>
                <c:pt idx="7">
                  <c:v>74374947.892800003</c:v>
                </c:pt>
                <c:pt idx="8">
                  <c:v>74687094.112800002</c:v>
                </c:pt>
                <c:pt idx="9">
                  <c:v>75036896.882799998</c:v>
                </c:pt>
                <c:pt idx="10">
                  <c:v>75439598.112800002</c:v>
                </c:pt>
                <c:pt idx="11">
                  <c:v>75894244.092800006</c:v>
                </c:pt>
                <c:pt idx="12">
                  <c:v>76343924.0528</c:v>
                </c:pt>
                <c:pt idx="13">
                  <c:v>76796304.512800008</c:v>
                </c:pt>
                <c:pt idx="14">
                  <c:v>77234112.162799999</c:v>
                </c:pt>
                <c:pt idx="15">
                  <c:v>77655996.5528</c:v>
                </c:pt>
                <c:pt idx="16">
                  <c:v>78068743.462799996</c:v>
                </c:pt>
                <c:pt idx="17">
                  <c:v>78441586.582800001</c:v>
                </c:pt>
                <c:pt idx="18">
                  <c:v>78813649.932799995</c:v>
                </c:pt>
                <c:pt idx="19">
                  <c:v>79185597.142800003</c:v>
                </c:pt>
                <c:pt idx="20">
                  <c:v>79557540.212799996</c:v>
                </c:pt>
                <c:pt idx="21">
                  <c:v>79929464.882799998</c:v>
                </c:pt>
                <c:pt idx="22">
                  <c:v>80277135.862800002</c:v>
                </c:pt>
                <c:pt idx="23">
                  <c:v>80624794.832800001</c:v>
                </c:pt>
                <c:pt idx="24">
                  <c:v>80972475.602799997</c:v>
                </c:pt>
                <c:pt idx="25">
                  <c:v>81320145.252800003</c:v>
                </c:pt>
                <c:pt idx="26">
                  <c:v>81667813.632799998</c:v>
                </c:pt>
                <c:pt idx="27">
                  <c:v>81990618.522799999</c:v>
                </c:pt>
                <c:pt idx="28">
                  <c:v>82313421.632799998</c:v>
                </c:pt>
                <c:pt idx="29">
                  <c:v>82636225.612800002</c:v>
                </c:pt>
                <c:pt idx="30">
                  <c:v>82959028.762800008</c:v>
                </c:pt>
                <c:pt idx="31">
                  <c:v>83281852.142800003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04-4C82-9D2E-A02034E8D15B}"/>
            </c:ext>
          </c:extLst>
        </c:ser>
        <c:ser>
          <c:idx val="6"/>
          <c:order val="6"/>
          <c:tx>
            <c:strRef>
              <c:f>'Total Energy'!$B$92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Energy'!$C$92:$AH$92</c:f>
              <c:numCache>
                <c:formatCode>General</c:formatCode>
                <c:ptCount val="32"/>
                <c:pt idx="0">
                  <c:v>47932011.942000002</c:v>
                </c:pt>
                <c:pt idx="1">
                  <c:v>47936431.257999986</c:v>
                </c:pt>
                <c:pt idx="2">
                  <c:v>48356285.435999997</c:v>
                </c:pt>
                <c:pt idx="3">
                  <c:v>48781897.943999998</c:v>
                </c:pt>
                <c:pt idx="4">
                  <c:v>49207998.939999998</c:v>
                </c:pt>
                <c:pt idx="5">
                  <c:v>49634257.531000003</c:v>
                </c:pt>
                <c:pt idx="6">
                  <c:v>50060517.737999998</c:v>
                </c:pt>
                <c:pt idx="7">
                  <c:v>50132412.582000002</c:v>
                </c:pt>
                <c:pt idx="8">
                  <c:v>50205547.564999998</c:v>
                </c:pt>
                <c:pt idx="9">
                  <c:v>50279926.042000003</c:v>
                </c:pt>
                <c:pt idx="10">
                  <c:v>50355445.825000003</c:v>
                </c:pt>
                <c:pt idx="11">
                  <c:v>50432103.501999997</c:v>
                </c:pt>
                <c:pt idx="12">
                  <c:v>50447396.031000003</c:v>
                </c:pt>
                <c:pt idx="13">
                  <c:v>50462682.996999986</c:v>
                </c:pt>
                <c:pt idx="14">
                  <c:v>50477970.343000002</c:v>
                </c:pt>
                <c:pt idx="15">
                  <c:v>50493250.704000004</c:v>
                </c:pt>
                <c:pt idx="16">
                  <c:v>50508540.668000013</c:v>
                </c:pt>
                <c:pt idx="17">
                  <c:v>50497128.102000013</c:v>
                </c:pt>
                <c:pt idx="18">
                  <c:v>50485716.191</c:v>
                </c:pt>
                <c:pt idx="19">
                  <c:v>50474307.141000003</c:v>
                </c:pt>
                <c:pt idx="20">
                  <c:v>50462887.943999998</c:v>
                </c:pt>
                <c:pt idx="21">
                  <c:v>50451479.559</c:v>
                </c:pt>
                <c:pt idx="22">
                  <c:v>50485155.445</c:v>
                </c:pt>
                <c:pt idx="23">
                  <c:v>50518831.799999997</c:v>
                </c:pt>
                <c:pt idx="24">
                  <c:v>50552509.642999999</c:v>
                </c:pt>
                <c:pt idx="25">
                  <c:v>50586225.934</c:v>
                </c:pt>
                <c:pt idx="26">
                  <c:v>50620786.788000003</c:v>
                </c:pt>
                <c:pt idx="27">
                  <c:v>50670700.210000001</c:v>
                </c:pt>
                <c:pt idx="28">
                  <c:v>50721658.158</c:v>
                </c:pt>
                <c:pt idx="29">
                  <c:v>50773419.424999997</c:v>
                </c:pt>
                <c:pt idx="30">
                  <c:v>50825662.159000002</c:v>
                </c:pt>
                <c:pt idx="31">
                  <c:v>50878331.114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04-4C82-9D2E-A02034E8D15B}"/>
            </c:ext>
          </c:extLst>
        </c:ser>
        <c:ser>
          <c:idx val="7"/>
          <c:order val="7"/>
          <c:tx>
            <c:strRef>
              <c:f>'Total Energy'!$B$93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Energy'!$C$93:$AH$93</c:f>
              <c:numCache>
                <c:formatCode>General</c:formatCode>
                <c:ptCount val="32"/>
                <c:pt idx="0">
                  <c:v>25078806.98</c:v>
                </c:pt>
                <c:pt idx="1">
                  <c:v>25291621.559999999</c:v>
                </c:pt>
                <c:pt idx="2">
                  <c:v>25462287.379999999</c:v>
                </c:pt>
                <c:pt idx="3">
                  <c:v>25739900.66</c:v>
                </c:pt>
                <c:pt idx="4">
                  <c:v>26025511.129999999</c:v>
                </c:pt>
                <c:pt idx="5">
                  <c:v>26313362.98</c:v>
                </c:pt>
                <c:pt idx="6">
                  <c:v>26601220.98</c:v>
                </c:pt>
                <c:pt idx="7">
                  <c:v>26870409.449999999</c:v>
                </c:pt>
                <c:pt idx="8">
                  <c:v>27141139.149999999</c:v>
                </c:pt>
                <c:pt idx="9">
                  <c:v>27413338.969999999</c:v>
                </c:pt>
                <c:pt idx="10">
                  <c:v>27685541.77</c:v>
                </c:pt>
                <c:pt idx="11">
                  <c:v>27957746.059999999</c:v>
                </c:pt>
                <c:pt idx="12">
                  <c:v>28211899.010000002</c:v>
                </c:pt>
                <c:pt idx="13">
                  <c:v>28466057.41</c:v>
                </c:pt>
                <c:pt idx="14">
                  <c:v>28720207.649999999</c:v>
                </c:pt>
                <c:pt idx="15">
                  <c:v>28974361.989999998</c:v>
                </c:pt>
                <c:pt idx="16">
                  <c:v>29228523.739999998</c:v>
                </c:pt>
                <c:pt idx="17">
                  <c:v>29454289.940000001</c:v>
                </c:pt>
                <c:pt idx="18">
                  <c:v>29680065.07</c:v>
                </c:pt>
                <c:pt idx="19">
                  <c:v>29905839.260000002</c:v>
                </c:pt>
                <c:pt idx="20">
                  <c:v>30131612.539999999</c:v>
                </c:pt>
                <c:pt idx="21">
                  <c:v>30357394.91</c:v>
                </c:pt>
                <c:pt idx="22">
                  <c:v>30563974.609999999</c:v>
                </c:pt>
                <c:pt idx="23">
                  <c:v>30770553.559999999</c:v>
                </c:pt>
                <c:pt idx="24">
                  <c:v>30977142.77</c:v>
                </c:pt>
                <c:pt idx="25">
                  <c:v>31183730.25</c:v>
                </c:pt>
                <c:pt idx="26">
                  <c:v>31390316.870000001</c:v>
                </c:pt>
                <c:pt idx="27">
                  <c:v>31583116.140000001</c:v>
                </c:pt>
                <c:pt idx="28">
                  <c:v>31775914.23</c:v>
                </c:pt>
                <c:pt idx="29">
                  <c:v>31968711.52</c:v>
                </c:pt>
                <c:pt idx="30">
                  <c:v>32161517.280000001</c:v>
                </c:pt>
                <c:pt idx="31">
                  <c:v>32354312.789999999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04-4C82-9D2E-A02034E8D15B}"/>
            </c:ext>
          </c:extLst>
        </c:ser>
        <c:ser>
          <c:idx val="8"/>
          <c:order val="8"/>
          <c:tx>
            <c:strRef>
              <c:f>'Total Energy'!$B$95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Energy'!$C$49:$AH$49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Energy'!$C$95:$AH$95</c:f>
              <c:numCache>
                <c:formatCode>General</c:formatCode>
                <c:ptCount val="32"/>
                <c:pt idx="0">
                  <c:v>11701098.921</c:v>
                </c:pt>
                <c:pt idx="1">
                  <c:v>11874736.388</c:v>
                </c:pt>
                <c:pt idx="2">
                  <c:v>12078528.444</c:v>
                </c:pt>
                <c:pt idx="3">
                  <c:v>12295971.586999999</c:v>
                </c:pt>
                <c:pt idx="4">
                  <c:v>12520959.909</c:v>
                </c:pt>
                <c:pt idx="5">
                  <c:v>12755432.335999999</c:v>
                </c:pt>
                <c:pt idx="6">
                  <c:v>12999385.872</c:v>
                </c:pt>
                <c:pt idx="7">
                  <c:v>13164945.903999999</c:v>
                </c:pt>
                <c:pt idx="8">
                  <c:v>13332071.403000001</c:v>
                </c:pt>
                <c:pt idx="9">
                  <c:v>13496220.891000001</c:v>
                </c:pt>
                <c:pt idx="10">
                  <c:v>13655445.794</c:v>
                </c:pt>
                <c:pt idx="11">
                  <c:v>13811072.795</c:v>
                </c:pt>
                <c:pt idx="12">
                  <c:v>13947105.533</c:v>
                </c:pt>
                <c:pt idx="13">
                  <c:v>14082657.780999999</c:v>
                </c:pt>
                <c:pt idx="14">
                  <c:v>14217933.022</c:v>
                </c:pt>
                <c:pt idx="15">
                  <c:v>14352714.544</c:v>
                </c:pt>
                <c:pt idx="16">
                  <c:v>14486811.332</c:v>
                </c:pt>
                <c:pt idx="17">
                  <c:v>14616158.113</c:v>
                </c:pt>
                <c:pt idx="18">
                  <c:v>14745522.268999999</c:v>
                </c:pt>
                <c:pt idx="19">
                  <c:v>14875288.562999999</c:v>
                </c:pt>
                <c:pt idx="20">
                  <c:v>15005656.416999999</c:v>
                </c:pt>
                <c:pt idx="21">
                  <c:v>15136695.736</c:v>
                </c:pt>
                <c:pt idx="22">
                  <c:v>15270899.397</c:v>
                </c:pt>
                <c:pt idx="23">
                  <c:v>15405691.34</c:v>
                </c:pt>
                <c:pt idx="24">
                  <c:v>15541082.685000001</c:v>
                </c:pt>
                <c:pt idx="25">
                  <c:v>15677047.521</c:v>
                </c:pt>
                <c:pt idx="26">
                  <c:v>15813399.516000001</c:v>
                </c:pt>
                <c:pt idx="27">
                  <c:v>15955114.184</c:v>
                </c:pt>
                <c:pt idx="28">
                  <c:v>16097246.903000001</c:v>
                </c:pt>
                <c:pt idx="29">
                  <c:v>16239873.878</c:v>
                </c:pt>
                <c:pt idx="30">
                  <c:v>16383089.442</c:v>
                </c:pt>
                <c:pt idx="31">
                  <c:v>16526888.585000001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04-4C82-9D2E-A02034E8D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70001"/>
        <c:axId val="50470002"/>
      </c:areaChart>
      <c:catAx>
        <c:axId val="504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70002"/>
        <c:crosses val="autoZero"/>
        <c:auto val="1"/>
        <c:lblAlgn val="ctr"/>
        <c:lblOffset val="100"/>
        <c:tickLblSkip val="2"/>
        <c:noMultiLvlLbl val="0"/>
      </c:catAx>
      <c:valAx>
        <c:axId val="504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7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Energy'!$B$90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Energy'!$C$90,'Total Energy'!$AH$90)</c:f>
              <c:numCache>
                <c:formatCode>General</c:formatCode>
                <c:ptCount val="2"/>
                <c:pt idx="0">
                  <c:v>653072660.62</c:v>
                </c:pt>
                <c:pt idx="1">
                  <c:v>653072660.81999993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1-4A7C-BF19-80E88099FA0E}"/>
            </c:ext>
          </c:extLst>
        </c:ser>
        <c:ser>
          <c:idx val="1"/>
          <c:order val="1"/>
          <c:tx>
            <c:strRef>
              <c:f>'Total Energy'!$B$97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Energy'!$C$97,'Total Energy'!$AH$97)</c:f>
              <c:numCache>
                <c:formatCode>General</c:formatCode>
                <c:ptCount val="2"/>
                <c:pt idx="0">
                  <c:v>590226101.63999999</c:v>
                </c:pt>
                <c:pt idx="1">
                  <c:v>517016785.33999997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1-4A7C-BF19-80E88099FA0E}"/>
            </c:ext>
          </c:extLst>
        </c:ser>
        <c:ser>
          <c:idx val="2"/>
          <c:order val="2"/>
          <c:tx>
            <c:strRef>
              <c:f>'Total Energy'!$B$91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Energy'!$C$91,'Total Energy'!$AH$91)</c:f>
              <c:numCache>
                <c:formatCode>General</c:formatCode>
                <c:ptCount val="2"/>
                <c:pt idx="0">
                  <c:v>452108148.43599999</c:v>
                </c:pt>
                <c:pt idx="1">
                  <c:v>460299129.75400001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C1-4A7C-BF19-80E88099FA0E}"/>
            </c:ext>
          </c:extLst>
        </c:ser>
        <c:ser>
          <c:idx val="3"/>
          <c:order val="3"/>
          <c:tx>
            <c:strRef>
              <c:f>'Total Energy'!$B$96</c:f>
              <c:strCache>
                <c:ptCount val="1"/>
                <c:pt idx="0">
                  <c:v>Space Heating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Energy'!$C$96,'Total Energy'!$AH$96)</c:f>
              <c:numCache>
                <c:formatCode>General</c:formatCode>
                <c:ptCount val="2"/>
                <c:pt idx="0">
                  <c:v>228596226.74200001</c:v>
                </c:pt>
                <c:pt idx="1">
                  <c:v>215458093.59200001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C1-4A7C-BF19-80E88099FA0E}"/>
            </c:ext>
          </c:extLst>
        </c:ser>
        <c:ser>
          <c:idx val="4"/>
          <c:order val="4"/>
          <c:tx>
            <c:strRef>
              <c:f>'Total Energy'!$B$94</c:f>
              <c:strCache>
                <c:ptCount val="1"/>
                <c:pt idx="0">
                  <c:v>Plug Load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Energy'!$C$94,'Total Energy'!$AH$94)</c:f>
              <c:numCache>
                <c:formatCode>General</c:formatCode>
                <c:ptCount val="2"/>
                <c:pt idx="0">
                  <c:v>110616717.56999999</c:v>
                </c:pt>
                <c:pt idx="1">
                  <c:v>129316630.05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C1-4A7C-BF19-80E88099FA0E}"/>
            </c:ext>
          </c:extLst>
        </c:ser>
        <c:ser>
          <c:idx val="5"/>
          <c:order val="5"/>
          <c:tx>
            <c:strRef>
              <c:f>'Total Energy'!$B$98</c:f>
              <c:strCache>
                <c:ptCount val="1"/>
                <c:pt idx="0">
                  <c:v>Water Heating</c:v>
                </c:pt>
              </c:strCache>
            </c:strRef>
          </c:tx>
          <c:spPr>
            <a:solidFill>
              <a:srgbClr val="20356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Energy'!$C$98,'Total Energy'!$AH$98)</c:f>
              <c:numCache>
                <c:formatCode>General</c:formatCode>
                <c:ptCount val="2"/>
                <c:pt idx="0">
                  <c:v>71613249.542799994</c:v>
                </c:pt>
                <c:pt idx="1">
                  <c:v>83281852.142800003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C1-4A7C-BF19-80E88099FA0E}"/>
            </c:ext>
          </c:extLst>
        </c:ser>
        <c:ser>
          <c:idx val="6"/>
          <c:order val="6"/>
          <c:tx>
            <c:strRef>
              <c:f>'Total Energy'!$B$92</c:f>
              <c:strCache>
                <c:ptCount val="1"/>
                <c:pt idx="0">
                  <c:v>Lighting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Energy'!$C$92,'Total Energy'!$AH$92)</c:f>
              <c:numCache>
                <c:formatCode>General</c:formatCode>
                <c:ptCount val="2"/>
                <c:pt idx="0">
                  <c:v>47932011.942000002</c:v>
                </c:pt>
                <c:pt idx="1">
                  <c:v>50878331.114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C1-4A7C-BF19-80E88099FA0E}"/>
            </c:ext>
          </c:extLst>
        </c:ser>
        <c:ser>
          <c:idx val="7"/>
          <c:order val="7"/>
          <c:tx>
            <c:strRef>
              <c:f>'Total Energy'!$B$93</c:f>
              <c:strCache>
                <c:ptCount val="1"/>
                <c:pt idx="0">
                  <c:v>Major Appliances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Energy'!$C$93,'Total Energy'!$AH$93)</c:f>
              <c:numCache>
                <c:formatCode>General</c:formatCode>
                <c:ptCount val="2"/>
                <c:pt idx="0">
                  <c:v>25078806.98</c:v>
                </c:pt>
                <c:pt idx="1">
                  <c:v>32354312.789999999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C1-4A7C-BF19-80E88099FA0E}"/>
            </c:ext>
          </c:extLst>
        </c:ser>
        <c:ser>
          <c:idx val="8"/>
          <c:order val="8"/>
          <c:tx>
            <c:strRef>
              <c:f>'Total Energy'!$B$95</c:f>
              <c:strCache>
                <c:ptCount val="1"/>
                <c:pt idx="0">
                  <c:v>Space Cooling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Energy'!$C$49,'Total Energy'!$AH$49)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Energy'!$C$95,'Total Energy'!$AH$95)</c:f>
              <c:numCache>
                <c:formatCode>General</c:formatCode>
                <c:ptCount val="2"/>
                <c:pt idx="0">
                  <c:v>11701098.921</c:v>
                </c:pt>
                <c:pt idx="1">
                  <c:v>16526888.585000001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C1-4A7C-BF19-80E88099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480001"/>
        <c:axId val="50480002"/>
      </c:barChart>
      <c:catAx>
        <c:axId val="504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80002"/>
        <c:crosses val="autoZero"/>
        <c:auto val="1"/>
        <c:lblAlgn val="ctr"/>
        <c:lblOffset val="100"/>
        <c:noMultiLvlLbl val="0"/>
      </c:catAx>
      <c:valAx>
        <c:axId val="504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8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Energy'!$B$112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Energy'!$C$112:$AH$112</c:f>
              <c:numCache>
                <c:formatCode>General</c:formatCode>
                <c:ptCount val="32"/>
                <c:pt idx="0">
                  <c:v>368529502.75</c:v>
                </c:pt>
                <c:pt idx="1">
                  <c:v>367704417.44999999</c:v>
                </c:pt>
                <c:pt idx="2">
                  <c:v>366766450.05000001</c:v>
                </c:pt>
                <c:pt idx="3">
                  <c:v>365580508.64999998</c:v>
                </c:pt>
                <c:pt idx="4">
                  <c:v>361027330.64999998</c:v>
                </c:pt>
                <c:pt idx="5">
                  <c:v>352892433.44999999</c:v>
                </c:pt>
                <c:pt idx="6">
                  <c:v>347989880.75</c:v>
                </c:pt>
                <c:pt idx="7">
                  <c:v>337999702.35000002</c:v>
                </c:pt>
                <c:pt idx="8">
                  <c:v>327690654.55000001</c:v>
                </c:pt>
                <c:pt idx="9">
                  <c:v>316894075.94999999</c:v>
                </c:pt>
                <c:pt idx="10">
                  <c:v>301681753.14999998</c:v>
                </c:pt>
                <c:pt idx="11">
                  <c:v>220204965.05000001</c:v>
                </c:pt>
                <c:pt idx="12">
                  <c:v>204675901.65000001</c:v>
                </c:pt>
                <c:pt idx="13">
                  <c:v>189413639.05000001</c:v>
                </c:pt>
                <c:pt idx="14">
                  <c:v>174824077.25</c:v>
                </c:pt>
                <c:pt idx="15">
                  <c:v>160674381.75</c:v>
                </c:pt>
                <c:pt idx="16">
                  <c:v>149687763.15000001</c:v>
                </c:pt>
                <c:pt idx="17">
                  <c:v>139368485.94999999</c:v>
                </c:pt>
                <c:pt idx="18">
                  <c:v>130113292.45</c:v>
                </c:pt>
                <c:pt idx="19">
                  <c:v>121870525.45</c:v>
                </c:pt>
                <c:pt idx="20">
                  <c:v>114268689.95</c:v>
                </c:pt>
                <c:pt idx="21">
                  <c:v>108103354.05</c:v>
                </c:pt>
                <c:pt idx="22">
                  <c:v>104296447.34999999</c:v>
                </c:pt>
                <c:pt idx="23">
                  <c:v>100865292.65000001</c:v>
                </c:pt>
                <c:pt idx="24">
                  <c:v>97731768.549999997</c:v>
                </c:pt>
                <c:pt idx="25">
                  <c:v>94716089.849999994</c:v>
                </c:pt>
                <c:pt idx="26">
                  <c:v>81401913.25</c:v>
                </c:pt>
                <c:pt idx="27">
                  <c:v>78908284.060000002</c:v>
                </c:pt>
                <c:pt idx="28">
                  <c:v>76504874.319999993</c:v>
                </c:pt>
                <c:pt idx="29">
                  <c:v>74168487.780000001</c:v>
                </c:pt>
                <c:pt idx="30">
                  <c:v>71681431.260000005</c:v>
                </c:pt>
                <c:pt idx="31">
                  <c:v>69655553.469999999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7-4A8A-BAD9-775879FC46D6}"/>
            </c:ext>
          </c:extLst>
        </c:ser>
        <c:ser>
          <c:idx val="1"/>
          <c:order val="1"/>
          <c:tx>
            <c:strRef>
              <c:f>'Total Energy'!$B$118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Energy'!$C$118:$AH$118</c:f>
              <c:numCache>
                <c:formatCode>General</c:formatCode>
                <c:ptCount val="32"/>
                <c:pt idx="0">
                  <c:v>363857100</c:v>
                </c:pt>
                <c:pt idx="1">
                  <c:v>364100300</c:v>
                </c:pt>
                <c:pt idx="2">
                  <c:v>364100300</c:v>
                </c:pt>
                <c:pt idx="3">
                  <c:v>364100300</c:v>
                </c:pt>
                <c:pt idx="4">
                  <c:v>363527800</c:v>
                </c:pt>
                <c:pt idx="5">
                  <c:v>362942200</c:v>
                </c:pt>
                <c:pt idx="6">
                  <c:v>373014300</c:v>
                </c:pt>
                <c:pt idx="7">
                  <c:v>372375800</c:v>
                </c:pt>
                <c:pt idx="8">
                  <c:v>371737300</c:v>
                </c:pt>
                <c:pt idx="9">
                  <c:v>371098900</c:v>
                </c:pt>
                <c:pt idx="10">
                  <c:v>370460400</c:v>
                </c:pt>
                <c:pt idx="11">
                  <c:v>355680600</c:v>
                </c:pt>
                <c:pt idx="12">
                  <c:v>354974600</c:v>
                </c:pt>
                <c:pt idx="13">
                  <c:v>354268500</c:v>
                </c:pt>
                <c:pt idx="14">
                  <c:v>353562100</c:v>
                </c:pt>
                <c:pt idx="15">
                  <c:v>352855500</c:v>
                </c:pt>
                <c:pt idx="16">
                  <c:v>352148400</c:v>
                </c:pt>
                <c:pt idx="17">
                  <c:v>352148500</c:v>
                </c:pt>
                <c:pt idx="18">
                  <c:v>352148500</c:v>
                </c:pt>
                <c:pt idx="19">
                  <c:v>352148400</c:v>
                </c:pt>
                <c:pt idx="20">
                  <c:v>352148500</c:v>
                </c:pt>
                <c:pt idx="21">
                  <c:v>352148400</c:v>
                </c:pt>
                <c:pt idx="22">
                  <c:v>352148500</c:v>
                </c:pt>
                <c:pt idx="23">
                  <c:v>352148400</c:v>
                </c:pt>
                <c:pt idx="24">
                  <c:v>352148500</c:v>
                </c:pt>
                <c:pt idx="25">
                  <c:v>352148400</c:v>
                </c:pt>
                <c:pt idx="26">
                  <c:v>344097400</c:v>
                </c:pt>
                <c:pt idx="27">
                  <c:v>344097500</c:v>
                </c:pt>
                <c:pt idx="28">
                  <c:v>344097400</c:v>
                </c:pt>
                <c:pt idx="29">
                  <c:v>344097400</c:v>
                </c:pt>
                <c:pt idx="30">
                  <c:v>344097500</c:v>
                </c:pt>
                <c:pt idx="31">
                  <c:v>344097400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27-4A8A-BAD9-775879FC46D6}"/>
            </c:ext>
          </c:extLst>
        </c:ser>
        <c:ser>
          <c:idx val="2"/>
          <c:order val="2"/>
          <c:tx>
            <c:strRef>
              <c:f>'Total Energy'!$B$107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Energy'!$C$107:$AH$107</c:f>
              <c:numCache>
                <c:formatCode>General</c:formatCode>
                <c:ptCount val="32"/>
                <c:pt idx="0">
                  <c:v>344926100</c:v>
                </c:pt>
                <c:pt idx="1">
                  <c:v>344177300</c:v>
                </c:pt>
                <c:pt idx="2">
                  <c:v>329323000</c:v>
                </c:pt>
                <c:pt idx="3">
                  <c:v>312288500</c:v>
                </c:pt>
                <c:pt idx="4">
                  <c:v>296353600</c:v>
                </c:pt>
                <c:pt idx="5">
                  <c:v>276729600</c:v>
                </c:pt>
                <c:pt idx="6">
                  <c:v>246714800</c:v>
                </c:pt>
                <c:pt idx="7">
                  <c:v>225111800</c:v>
                </c:pt>
                <c:pt idx="8">
                  <c:v>202024400</c:v>
                </c:pt>
                <c:pt idx="9">
                  <c:v>178511700</c:v>
                </c:pt>
                <c:pt idx="10">
                  <c:v>156075300</c:v>
                </c:pt>
                <c:pt idx="11">
                  <c:v>136612500</c:v>
                </c:pt>
                <c:pt idx="12">
                  <c:v>120095500</c:v>
                </c:pt>
                <c:pt idx="13">
                  <c:v>105835400</c:v>
                </c:pt>
                <c:pt idx="14">
                  <c:v>92930430</c:v>
                </c:pt>
                <c:pt idx="15">
                  <c:v>78802110</c:v>
                </c:pt>
                <c:pt idx="16">
                  <c:v>66993620</c:v>
                </c:pt>
                <c:pt idx="17">
                  <c:v>58494170</c:v>
                </c:pt>
                <c:pt idx="18">
                  <c:v>50048760</c:v>
                </c:pt>
                <c:pt idx="19">
                  <c:v>42094830</c:v>
                </c:pt>
                <c:pt idx="20">
                  <c:v>35416690</c:v>
                </c:pt>
                <c:pt idx="21">
                  <c:v>29467150</c:v>
                </c:pt>
                <c:pt idx="22">
                  <c:v>24157510</c:v>
                </c:pt>
                <c:pt idx="23">
                  <c:v>19328200</c:v>
                </c:pt>
                <c:pt idx="24">
                  <c:v>15116050</c:v>
                </c:pt>
                <c:pt idx="25">
                  <c:v>11550030</c:v>
                </c:pt>
                <c:pt idx="26">
                  <c:v>8584650</c:v>
                </c:pt>
                <c:pt idx="27">
                  <c:v>6165961</c:v>
                </c:pt>
                <c:pt idx="28">
                  <c:v>4237493</c:v>
                </c:pt>
                <c:pt idx="29">
                  <c:v>2724187</c:v>
                </c:pt>
                <c:pt idx="30">
                  <c:v>1535964</c:v>
                </c:pt>
                <c:pt idx="31">
                  <c:v>571681.4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27-4A8A-BAD9-775879FC46D6}"/>
            </c:ext>
          </c:extLst>
        </c:ser>
        <c:ser>
          <c:idx val="3"/>
          <c:order val="3"/>
          <c:tx>
            <c:strRef>
              <c:f>'Total Energy'!$B$109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Energy'!$C$109:$AH$109</c:f>
              <c:numCache>
                <c:formatCode>General</c:formatCode>
                <c:ptCount val="32"/>
                <c:pt idx="0">
                  <c:v>321326760.80000001</c:v>
                </c:pt>
                <c:pt idx="1">
                  <c:v>322598370.69999999</c:v>
                </c:pt>
                <c:pt idx="2">
                  <c:v>327468253.83279997</c:v>
                </c:pt>
                <c:pt idx="3">
                  <c:v>332723805.80650002</c:v>
                </c:pt>
                <c:pt idx="4">
                  <c:v>335957150.39999998</c:v>
                </c:pt>
                <c:pt idx="5">
                  <c:v>337584184.60000002</c:v>
                </c:pt>
                <c:pt idx="6">
                  <c:v>338763241.30000001</c:v>
                </c:pt>
                <c:pt idx="7">
                  <c:v>338391161.10000002</c:v>
                </c:pt>
                <c:pt idx="8">
                  <c:v>338414217.5</c:v>
                </c:pt>
                <c:pt idx="9">
                  <c:v>338768194.69999999</c:v>
                </c:pt>
                <c:pt idx="10">
                  <c:v>340142825.5</c:v>
                </c:pt>
                <c:pt idx="11">
                  <c:v>341701845</c:v>
                </c:pt>
                <c:pt idx="12">
                  <c:v>341833760.69999999</c:v>
                </c:pt>
                <c:pt idx="13">
                  <c:v>341229704.39999998</c:v>
                </c:pt>
                <c:pt idx="14">
                  <c:v>339943100.10000002</c:v>
                </c:pt>
                <c:pt idx="15">
                  <c:v>337971505</c:v>
                </c:pt>
                <c:pt idx="16">
                  <c:v>336358247</c:v>
                </c:pt>
                <c:pt idx="17">
                  <c:v>336027126.80000001</c:v>
                </c:pt>
                <c:pt idx="18">
                  <c:v>335031448.39999998</c:v>
                </c:pt>
                <c:pt idx="19">
                  <c:v>333072336.30000001</c:v>
                </c:pt>
                <c:pt idx="20">
                  <c:v>329859978.5</c:v>
                </c:pt>
                <c:pt idx="21">
                  <c:v>326236307.30000001</c:v>
                </c:pt>
                <c:pt idx="22">
                  <c:v>329734178</c:v>
                </c:pt>
                <c:pt idx="23">
                  <c:v>333570154.30000001</c:v>
                </c:pt>
                <c:pt idx="24">
                  <c:v>337224189.5</c:v>
                </c:pt>
                <c:pt idx="25">
                  <c:v>340496323.30000001</c:v>
                </c:pt>
                <c:pt idx="26">
                  <c:v>344278848.30000001</c:v>
                </c:pt>
                <c:pt idx="27">
                  <c:v>347324196.89999998</c:v>
                </c:pt>
                <c:pt idx="28">
                  <c:v>350136125.30000001</c:v>
                </c:pt>
                <c:pt idx="29">
                  <c:v>352757213</c:v>
                </c:pt>
                <c:pt idx="30">
                  <c:v>354895688.30000001</c:v>
                </c:pt>
                <c:pt idx="31">
                  <c:v>357683310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27-4A8A-BAD9-775879FC46D6}"/>
            </c:ext>
          </c:extLst>
        </c:ser>
        <c:ser>
          <c:idx val="4"/>
          <c:order val="4"/>
          <c:tx>
            <c:strRef>
              <c:f>'Total Energy'!$B$105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Energy'!$C$105:$AH$105</c:f>
              <c:numCache>
                <c:formatCode>General</c:formatCode>
                <c:ptCount val="32"/>
                <c:pt idx="0">
                  <c:v>216163500</c:v>
                </c:pt>
                <c:pt idx="1">
                  <c:v>207066200</c:v>
                </c:pt>
                <c:pt idx="2">
                  <c:v>197572400</c:v>
                </c:pt>
                <c:pt idx="3">
                  <c:v>187851000</c:v>
                </c:pt>
                <c:pt idx="4">
                  <c:v>178327300</c:v>
                </c:pt>
                <c:pt idx="5">
                  <c:v>167075100</c:v>
                </c:pt>
                <c:pt idx="6">
                  <c:v>156690800</c:v>
                </c:pt>
                <c:pt idx="7">
                  <c:v>145680900</c:v>
                </c:pt>
                <c:pt idx="8">
                  <c:v>135206700</c:v>
                </c:pt>
                <c:pt idx="9">
                  <c:v>125008800</c:v>
                </c:pt>
                <c:pt idx="10">
                  <c:v>115094200</c:v>
                </c:pt>
                <c:pt idx="11">
                  <c:v>105629400</c:v>
                </c:pt>
                <c:pt idx="12">
                  <c:v>96538940</c:v>
                </c:pt>
                <c:pt idx="13">
                  <c:v>87864320</c:v>
                </c:pt>
                <c:pt idx="14">
                  <c:v>79431420</c:v>
                </c:pt>
                <c:pt idx="15">
                  <c:v>71072400</c:v>
                </c:pt>
                <c:pt idx="16">
                  <c:v>63188660</c:v>
                </c:pt>
                <c:pt idx="17">
                  <c:v>58856150</c:v>
                </c:pt>
                <c:pt idx="18">
                  <c:v>54599440</c:v>
                </c:pt>
                <c:pt idx="19">
                  <c:v>50467150</c:v>
                </c:pt>
                <c:pt idx="20">
                  <c:v>47151590</c:v>
                </c:pt>
                <c:pt idx="21">
                  <c:v>43924840</c:v>
                </c:pt>
                <c:pt idx="22">
                  <c:v>42561830</c:v>
                </c:pt>
                <c:pt idx="23">
                  <c:v>41260250</c:v>
                </c:pt>
                <c:pt idx="24">
                  <c:v>40035240</c:v>
                </c:pt>
                <c:pt idx="25">
                  <c:v>38889810</c:v>
                </c:pt>
                <c:pt idx="26">
                  <c:v>37818410</c:v>
                </c:pt>
                <c:pt idx="27">
                  <c:v>36815590</c:v>
                </c:pt>
                <c:pt idx="28">
                  <c:v>35873330</c:v>
                </c:pt>
                <c:pt idx="29">
                  <c:v>34983240</c:v>
                </c:pt>
                <c:pt idx="30">
                  <c:v>34135170</c:v>
                </c:pt>
                <c:pt idx="31">
                  <c:v>33317610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27-4A8A-BAD9-775879FC46D6}"/>
            </c:ext>
          </c:extLst>
        </c:ser>
        <c:ser>
          <c:idx val="5"/>
          <c:order val="5"/>
          <c:tx>
            <c:strRef>
              <c:f>'Total Energy'!$B$120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Energy'!$C$120:$AH$120</c:f>
              <c:numCache>
                <c:formatCode>General</c:formatCode>
                <c:ptCount val="32"/>
                <c:pt idx="0">
                  <c:v>125996294</c:v>
                </c:pt>
                <c:pt idx="1">
                  <c:v>126012722</c:v>
                </c:pt>
                <c:pt idx="2">
                  <c:v>125922658</c:v>
                </c:pt>
                <c:pt idx="3">
                  <c:v>125802599</c:v>
                </c:pt>
                <c:pt idx="4">
                  <c:v>125552562</c:v>
                </c:pt>
                <c:pt idx="5">
                  <c:v>125248075</c:v>
                </c:pt>
                <c:pt idx="6">
                  <c:v>124471712</c:v>
                </c:pt>
                <c:pt idx="7">
                  <c:v>122691521</c:v>
                </c:pt>
                <c:pt idx="8">
                  <c:v>120926834</c:v>
                </c:pt>
                <c:pt idx="9">
                  <c:v>119160779</c:v>
                </c:pt>
                <c:pt idx="10">
                  <c:v>117375847</c:v>
                </c:pt>
                <c:pt idx="11">
                  <c:v>114313642</c:v>
                </c:pt>
                <c:pt idx="12">
                  <c:v>112555471</c:v>
                </c:pt>
                <c:pt idx="13">
                  <c:v>110835981</c:v>
                </c:pt>
                <c:pt idx="14">
                  <c:v>109177967</c:v>
                </c:pt>
                <c:pt idx="15">
                  <c:v>107598746</c:v>
                </c:pt>
                <c:pt idx="16">
                  <c:v>106109130</c:v>
                </c:pt>
                <c:pt idx="17">
                  <c:v>104834990.59999999</c:v>
                </c:pt>
                <c:pt idx="18">
                  <c:v>103653122.3</c:v>
                </c:pt>
                <c:pt idx="19">
                  <c:v>102556496.09999999</c:v>
                </c:pt>
                <c:pt idx="20">
                  <c:v>101534856.7</c:v>
                </c:pt>
                <c:pt idx="21">
                  <c:v>100575175.5</c:v>
                </c:pt>
                <c:pt idx="22">
                  <c:v>99621801.799999997</c:v>
                </c:pt>
                <c:pt idx="23">
                  <c:v>98707978.030000001</c:v>
                </c:pt>
                <c:pt idx="24">
                  <c:v>97826363.730000004</c:v>
                </c:pt>
                <c:pt idx="25">
                  <c:v>96972584.359999999</c:v>
                </c:pt>
                <c:pt idx="26">
                  <c:v>95387674.319999993</c:v>
                </c:pt>
                <c:pt idx="27">
                  <c:v>94543181.370000005</c:v>
                </c:pt>
                <c:pt idx="28">
                  <c:v>93719477.049999997</c:v>
                </c:pt>
                <c:pt idx="29">
                  <c:v>92915438.340000004</c:v>
                </c:pt>
                <c:pt idx="30">
                  <c:v>92130126.870000005</c:v>
                </c:pt>
                <c:pt idx="31">
                  <c:v>91362855.420000002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27-4A8A-BAD9-775879FC46D6}"/>
            </c:ext>
          </c:extLst>
        </c:ser>
        <c:ser>
          <c:idx val="6"/>
          <c:order val="6"/>
          <c:tx>
            <c:strRef>
              <c:f>'Total Energy'!$B$113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Energy'!$C$113:$AH$113</c:f>
              <c:numCache>
                <c:formatCode>General</c:formatCode>
                <c:ptCount val="32"/>
                <c:pt idx="0">
                  <c:v>97427065.099999994</c:v>
                </c:pt>
                <c:pt idx="1">
                  <c:v>97160625.099999994</c:v>
                </c:pt>
                <c:pt idx="2">
                  <c:v>102103355.09999999</c:v>
                </c:pt>
                <c:pt idx="3">
                  <c:v>106383375.09999999</c:v>
                </c:pt>
                <c:pt idx="4">
                  <c:v>110287525.09999999</c:v>
                </c:pt>
                <c:pt idx="5">
                  <c:v>113159585.09999999</c:v>
                </c:pt>
                <c:pt idx="6">
                  <c:v>113028842.09999999</c:v>
                </c:pt>
                <c:pt idx="7">
                  <c:v>113182428.09999999</c:v>
                </c:pt>
                <c:pt idx="8">
                  <c:v>112421688.09999999</c:v>
                </c:pt>
                <c:pt idx="9">
                  <c:v>110831788.09999999</c:v>
                </c:pt>
                <c:pt idx="10">
                  <c:v>108662867.09999999</c:v>
                </c:pt>
                <c:pt idx="11">
                  <c:v>106359001.09999999</c:v>
                </c:pt>
                <c:pt idx="12">
                  <c:v>104028611.09999999</c:v>
                </c:pt>
                <c:pt idx="13">
                  <c:v>101635967.09999999</c:v>
                </c:pt>
                <c:pt idx="14">
                  <c:v>99018221.099999994</c:v>
                </c:pt>
                <c:pt idx="15">
                  <c:v>95496090.099999994</c:v>
                </c:pt>
                <c:pt idx="16">
                  <c:v>92093822.099999994</c:v>
                </c:pt>
                <c:pt idx="17">
                  <c:v>89985448.099999994</c:v>
                </c:pt>
                <c:pt idx="18">
                  <c:v>87542181.099999994</c:v>
                </c:pt>
                <c:pt idx="19">
                  <c:v>84916515.099999994</c:v>
                </c:pt>
                <c:pt idx="20">
                  <c:v>81094783.099999994</c:v>
                </c:pt>
                <c:pt idx="21">
                  <c:v>77562605.099999994</c:v>
                </c:pt>
                <c:pt idx="22">
                  <c:v>74727948.099999994</c:v>
                </c:pt>
                <c:pt idx="23">
                  <c:v>72089566.099999994</c:v>
                </c:pt>
                <c:pt idx="24">
                  <c:v>69697748.099999994</c:v>
                </c:pt>
                <c:pt idx="25">
                  <c:v>67562647.099999994</c:v>
                </c:pt>
                <c:pt idx="26">
                  <c:v>65666723.100000001</c:v>
                </c:pt>
                <c:pt idx="27">
                  <c:v>63986398.100000001</c:v>
                </c:pt>
                <c:pt idx="28">
                  <c:v>62503015.100000001</c:v>
                </c:pt>
                <c:pt idx="29">
                  <c:v>61188239.100000001</c:v>
                </c:pt>
                <c:pt idx="30">
                  <c:v>60008141.100000001</c:v>
                </c:pt>
                <c:pt idx="31">
                  <c:v>58924647.100000001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27-4A8A-BAD9-775879FC46D6}"/>
            </c:ext>
          </c:extLst>
        </c:ser>
        <c:ser>
          <c:idx val="7"/>
          <c:order val="7"/>
          <c:tx>
            <c:strRef>
              <c:f>'Total Energy'!$B$106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Energy'!$C$106:$AH$106</c:f>
              <c:numCache>
                <c:formatCode>General</c:formatCode>
                <c:ptCount val="32"/>
                <c:pt idx="0">
                  <c:v>93733824.84300001</c:v>
                </c:pt>
                <c:pt idx="1">
                  <c:v>93716900.101000011</c:v>
                </c:pt>
                <c:pt idx="2">
                  <c:v>93653034.126000002</c:v>
                </c:pt>
                <c:pt idx="3">
                  <c:v>93589069.893000007</c:v>
                </c:pt>
                <c:pt idx="4">
                  <c:v>91940874.759000003</c:v>
                </c:pt>
                <c:pt idx="5">
                  <c:v>90255664.097000003</c:v>
                </c:pt>
                <c:pt idx="6">
                  <c:v>87424219.785999998</c:v>
                </c:pt>
                <c:pt idx="7">
                  <c:v>84611550.837000012</c:v>
                </c:pt>
                <c:pt idx="8">
                  <c:v>81847675.214999989</c:v>
                </c:pt>
                <c:pt idx="9">
                  <c:v>79119577.732999995</c:v>
                </c:pt>
                <c:pt idx="10">
                  <c:v>76414481.015000001</c:v>
                </c:pt>
                <c:pt idx="11">
                  <c:v>73585671.416999996</c:v>
                </c:pt>
                <c:pt idx="12">
                  <c:v>70874370.104499996</c:v>
                </c:pt>
                <c:pt idx="13">
                  <c:v>68221546.452199996</c:v>
                </c:pt>
                <c:pt idx="14">
                  <c:v>65648718.665200002</c:v>
                </c:pt>
                <c:pt idx="15">
                  <c:v>63167496.67165</c:v>
                </c:pt>
                <c:pt idx="16">
                  <c:v>60782618.83963</c:v>
                </c:pt>
                <c:pt idx="17">
                  <c:v>58545220.883610003</c:v>
                </c:pt>
                <c:pt idx="18">
                  <c:v>56397705.030929998</c:v>
                </c:pt>
                <c:pt idx="19">
                  <c:v>54335376.613370001</c:v>
                </c:pt>
                <c:pt idx="20">
                  <c:v>52351740.194049999</c:v>
                </c:pt>
                <c:pt idx="21">
                  <c:v>50437499.025169998</c:v>
                </c:pt>
                <c:pt idx="22">
                  <c:v>48546207.563299999</c:v>
                </c:pt>
                <c:pt idx="23">
                  <c:v>46714707.593869999</c:v>
                </c:pt>
                <c:pt idx="24">
                  <c:v>44938179.012879997</c:v>
                </c:pt>
                <c:pt idx="25">
                  <c:v>43212047.721500002</c:v>
                </c:pt>
                <c:pt idx="26">
                  <c:v>41472649.469609998</c:v>
                </c:pt>
                <c:pt idx="27">
                  <c:v>39806359.056769997</c:v>
                </c:pt>
                <c:pt idx="28">
                  <c:v>38179527.770640001</c:v>
                </c:pt>
                <c:pt idx="29">
                  <c:v>36589360.939159997</c:v>
                </c:pt>
                <c:pt idx="30">
                  <c:v>35033855.195699997</c:v>
                </c:pt>
                <c:pt idx="31">
                  <c:v>33511606.14683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27-4A8A-BAD9-775879FC46D6}"/>
            </c:ext>
          </c:extLst>
        </c:ser>
        <c:ser>
          <c:idx val="8"/>
          <c:order val="8"/>
          <c:tx>
            <c:strRef>
              <c:f>'Total Energy'!$B$104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Energy'!$C$104:$AH$104</c:f>
              <c:numCache>
                <c:formatCode>General</c:formatCode>
                <c:ptCount val="32"/>
                <c:pt idx="0">
                  <c:v>67364420</c:v>
                </c:pt>
                <c:pt idx="1">
                  <c:v>66743197</c:v>
                </c:pt>
                <c:pt idx="2">
                  <c:v>66743197</c:v>
                </c:pt>
                <c:pt idx="3">
                  <c:v>66743197</c:v>
                </c:pt>
                <c:pt idx="4">
                  <c:v>66661123</c:v>
                </c:pt>
                <c:pt idx="5">
                  <c:v>66577156</c:v>
                </c:pt>
                <c:pt idx="6">
                  <c:v>4785705</c:v>
                </c:pt>
                <c:pt idx="7">
                  <c:v>4733278</c:v>
                </c:pt>
                <c:pt idx="8">
                  <c:v>4682347</c:v>
                </c:pt>
                <c:pt idx="9">
                  <c:v>4632848</c:v>
                </c:pt>
                <c:pt idx="10">
                  <c:v>4584718</c:v>
                </c:pt>
                <c:pt idx="11">
                  <c:v>4515577</c:v>
                </c:pt>
                <c:pt idx="12">
                  <c:v>4470856</c:v>
                </c:pt>
                <c:pt idx="13">
                  <c:v>4427315</c:v>
                </c:pt>
                <c:pt idx="14">
                  <c:v>4384904</c:v>
                </c:pt>
                <c:pt idx="15">
                  <c:v>4343577</c:v>
                </c:pt>
                <c:pt idx="16">
                  <c:v>4303292</c:v>
                </c:pt>
                <c:pt idx="17">
                  <c:v>4266742</c:v>
                </c:pt>
                <c:pt idx="18">
                  <c:v>4231129</c:v>
                </c:pt>
                <c:pt idx="19">
                  <c:v>4196418</c:v>
                </c:pt>
                <c:pt idx="20">
                  <c:v>4162576</c:v>
                </c:pt>
                <c:pt idx="21">
                  <c:v>4129570</c:v>
                </c:pt>
                <c:pt idx="22">
                  <c:v>4096238</c:v>
                </c:pt>
                <c:pt idx="23">
                  <c:v>4063709</c:v>
                </c:pt>
                <c:pt idx="24">
                  <c:v>4031956</c:v>
                </c:pt>
                <c:pt idx="25">
                  <c:v>4000951</c:v>
                </c:pt>
                <c:pt idx="26">
                  <c:v>3954457</c:v>
                </c:pt>
                <c:pt idx="27">
                  <c:v>3924089</c:v>
                </c:pt>
                <c:pt idx="28">
                  <c:v>3894412</c:v>
                </c:pt>
                <c:pt idx="29">
                  <c:v>3865402</c:v>
                </c:pt>
                <c:pt idx="30">
                  <c:v>3837037</c:v>
                </c:pt>
                <c:pt idx="31">
                  <c:v>3809297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27-4A8A-BAD9-775879FC46D6}"/>
            </c:ext>
          </c:extLst>
        </c:ser>
        <c:ser>
          <c:idx val="9"/>
          <c:order val="9"/>
          <c:tx>
            <c:strRef>
              <c:f>'Total Energy'!$B$117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Energy'!$C$117:$AH$117</c:f>
              <c:numCache>
                <c:formatCode>General</c:formatCode>
                <c:ptCount val="32"/>
                <c:pt idx="0">
                  <c:v>62627730</c:v>
                </c:pt>
                <c:pt idx="1">
                  <c:v>62679880</c:v>
                </c:pt>
                <c:pt idx="2">
                  <c:v>62679890</c:v>
                </c:pt>
                <c:pt idx="3">
                  <c:v>62679880</c:v>
                </c:pt>
                <c:pt idx="4">
                  <c:v>62590260</c:v>
                </c:pt>
                <c:pt idx="5">
                  <c:v>62498570</c:v>
                </c:pt>
                <c:pt idx="6">
                  <c:v>63980960</c:v>
                </c:pt>
                <c:pt idx="7">
                  <c:v>63880990</c:v>
                </c:pt>
                <c:pt idx="8">
                  <c:v>63781020</c:v>
                </c:pt>
                <c:pt idx="9">
                  <c:v>63681060</c:v>
                </c:pt>
                <c:pt idx="10">
                  <c:v>63581090</c:v>
                </c:pt>
                <c:pt idx="11">
                  <c:v>62055940</c:v>
                </c:pt>
                <c:pt idx="12">
                  <c:v>61945410</c:v>
                </c:pt>
                <c:pt idx="13">
                  <c:v>61834850</c:v>
                </c:pt>
                <c:pt idx="14">
                  <c:v>61724260</c:v>
                </c:pt>
                <c:pt idx="15">
                  <c:v>61613620</c:v>
                </c:pt>
                <c:pt idx="16">
                  <c:v>61502920</c:v>
                </c:pt>
                <c:pt idx="17">
                  <c:v>61502930</c:v>
                </c:pt>
                <c:pt idx="18">
                  <c:v>61502930</c:v>
                </c:pt>
                <c:pt idx="19">
                  <c:v>61502920</c:v>
                </c:pt>
                <c:pt idx="20">
                  <c:v>61502930</c:v>
                </c:pt>
                <c:pt idx="21">
                  <c:v>61502920</c:v>
                </c:pt>
                <c:pt idx="22">
                  <c:v>61502930</c:v>
                </c:pt>
                <c:pt idx="23">
                  <c:v>61502920</c:v>
                </c:pt>
                <c:pt idx="24">
                  <c:v>61502930</c:v>
                </c:pt>
                <c:pt idx="25">
                  <c:v>61502920</c:v>
                </c:pt>
                <c:pt idx="26">
                  <c:v>60468110</c:v>
                </c:pt>
                <c:pt idx="27">
                  <c:v>60468120</c:v>
                </c:pt>
                <c:pt idx="28">
                  <c:v>60468120</c:v>
                </c:pt>
                <c:pt idx="29">
                  <c:v>60468110</c:v>
                </c:pt>
                <c:pt idx="30">
                  <c:v>60468120</c:v>
                </c:pt>
                <c:pt idx="31">
                  <c:v>60468120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27-4A8A-BAD9-775879FC46D6}"/>
            </c:ext>
          </c:extLst>
        </c:ser>
        <c:ser>
          <c:idx val="10"/>
          <c:order val="10"/>
          <c:tx>
            <c:strRef>
              <c:f>'Total Energy'!$B$103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Energy'!$C$103:$AH$103</c:f>
              <c:numCache>
                <c:formatCode>General</c:formatCode>
                <c:ptCount val="32"/>
                <c:pt idx="0">
                  <c:v>52357190</c:v>
                </c:pt>
                <c:pt idx="1">
                  <c:v>52357190</c:v>
                </c:pt>
                <c:pt idx="2">
                  <c:v>52357190</c:v>
                </c:pt>
                <c:pt idx="3">
                  <c:v>52357190</c:v>
                </c:pt>
                <c:pt idx="4">
                  <c:v>52357190</c:v>
                </c:pt>
                <c:pt idx="5">
                  <c:v>52357190</c:v>
                </c:pt>
                <c:pt idx="6">
                  <c:v>52357184</c:v>
                </c:pt>
                <c:pt idx="7">
                  <c:v>52357184</c:v>
                </c:pt>
                <c:pt idx="8">
                  <c:v>52357181</c:v>
                </c:pt>
                <c:pt idx="9">
                  <c:v>52357183</c:v>
                </c:pt>
                <c:pt idx="10">
                  <c:v>52357182</c:v>
                </c:pt>
                <c:pt idx="11">
                  <c:v>52357187</c:v>
                </c:pt>
                <c:pt idx="12">
                  <c:v>52357178</c:v>
                </c:pt>
                <c:pt idx="13">
                  <c:v>52357186</c:v>
                </c:pt>
                <c:pt idx="14">
                  <c:v>52357180</c:v>
                </c:pt>
                <c:pt idx="15">
                  <c:v>52357190</c:v>
                </c:pt>
                <c:pt idx="16">
                  <c:v>52357186</c:v>
                </c:pt>
                <c:pt idx="17">
                  <c:v>52357188</c:v>
                </c:pt>
                <c:pt idx="18">
                  <c:v>52357187</c:v>
                </c:pt>
                <c:pt idx="19">
                  <c:v>52357183</c:v>
                </c:pt>
                <c:pt idx="20">
                  <c:v>52357184</c:v>
                </c:pt>
                <c:pt idx="21">
                  <c:v>52357182</c:v>
                </c:pt>
                <c:pt idx="22">
                  <c:v>52357186</c:v>
                </c:pt>
                <c:pt idx="23">
                  <c:v>52357187</c:v>
                </c:pt>
                <c:pt idx="24">
                  <c:v>52357184</c:v>
                </c:pt>
                <c:pt idx="25">
                  <c:v>52357188</c:v>
                </c:pt>
                <c:pt idx="26">
                  <c:v>52357187</c:v>
                </c:pt>
                <c:pt idx="27">
                  <c:v>52357184</c:v>
                </c:pt>
                <c:pt idx="28">
                  <c:v>52357187</c:v>
                </c:pt>
                <c:pt idx="29">
                  <c:v>52357186</c:v>
                </c:pt>
                <c:pt idx="30">
                  <c:v>52357182</c:v>
                </c:pt>
                <c:pt idx="31">
                  <c:v>52357184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27-4A8A-BAD9-775879FC46D6}"/>
            </c:ext>
          </c:extLst>
        </c:ser>
        <c:ser>
          <c:idx val="11"/>
          <c:order val="11"/>
          <c:tx>
            <c:strRef>
              <c:f>'Total Energy'!$B$119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Energy'!$C$119:$AH$119</c:f>
              <c:numCache>
                <c:formatCode>General</c:formatCode>
                <c:ptCount val="32"/>
                <c:pt idx="0">
                  <c:v>43192630</c:v>
                </c:pt>
                <c:pt idx="1">
                  <c:v>42283730</c:v>
                </c:pt>
                <c:pt idx="2">
                  <c:v>42283730</c:v>
                </c:pt>
                <c:pt idx="3">
                  <c:v>42283730</c:v>
                </c:pt>
                <c:pt idx="4">
                  <c:v>42226170</c:v>
                </c:pt>
                <c:pt idx="5">
                  <c:v>42167280</c:v>
                </c:pt>
                <c:pt idx="6">
                  <c:v>43119330</c:v>
                </c:pt>
                <c:pt idx="7">
                  <c:v>43055130</c:v>
                </c:pt>
                <c:pt idx="8">
                  <c:v>42990930</c:v>
                </c:pt>
                <c:pt idx="9">
                  <c:v>42926730</c:v>
                </c:pt>
                <c:pt idx="10">
                  <c:v>42862520</c:v>
                </c:pt>
                <c:pt idx="11">
                  <c:v>44625130</c:v>
                </c:pt>
                <c:pt idx="12">
                  <c:v>44554150</c:v>
                </c:pt>
                <c:pt idx="13">
                  <c:v>44483140</c:v>
                </c:pt>
                <c:pt idx="14">
                  <c:v>44412110</c:v>
                </c:pt>
                <c:pt idx="15">
                  <c:v>44341060</c:v>
                </c:pt>
                <c:pt idx="16">
                  <c:v>44269960</c:v>
                </c:pt>
                <c:pt idx="17">
                  <c:v>44269960</c:v>
                </c:pt>
                <c:pt idx="18">
                  <c:v>44269960</c:v>
                </c:pt>
                <c:pt idx="19">
                  <c:v>44269960</c:v>
                </c:pt>
                <c:pt idx="20">
                  <c:v>44269960</c:v>
                </c:pt>
                <c:pt idx="21">
                  <c:v>44269960</c:v>
                </c:pt>
                <c:pt idx="22">
                  <c:v>44269970</c:v>
                </c:pt>
                <c:pt idx="23">
                  <c:v>44269960</c:v>
                </c:pt>
                <c:pt idx="24">
                  <c:v>44269970</c:v>
                </c:pt>
                <c:pt idx="25">
                  <c:v>44269960</c:v>
                </c:pt>
                <c:pt idx="26">
                  <c:v>44510120</c:v>
                </c:pt>
                <c:pt idx="27">
                  <c:v>44510130</c:v>
                </c:pt>
                <c:pt idx="28">
                  <c:v>44510120</c:v>
                </c:pt>
                <c:pt idx="29">
                  <c:v>44510120</c:v>
                </c:pt>
                <c:pt idx="30">
                  <c:v>44510130</c:v>
                </c:pt>
                <c:pt idx="31">
                  <c:v>44510120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27-4A8A-BAD9-775879FC46D6}"/>
            </c:ext>
          </c:extLst>
        </c:ser>
        <c:ser>
          <c:idx val="12"/>
          <c:order val="12"/>
          <c:tx>
            <c:strRef>
              <c:f>'Total Energy'!$B$108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Energy'!$C$108:$AH$108</c:f>
              <c:numCache>
                <c:formatCode>General</c:formatCode>
                <c:ptCount val="32"/>
                <c:pt idx="0">
                  <c:v>18826570</c:v>
                </c:pt>
                <c:pt idx="1">
                  <c:v>18861950</c:v>
                </c:pt>
                <c:pt idx="2">
                  <c:v>19440780</c:v>
                </c:pt>
                <c:pt idx="3">
                  <c:v>20760890</c:v>
                </c:pt>
                <c:pt idx="4">
                  <c:v>22477050</c:v>
                </c:pt>
                <c:pt idx="5">
                  <c:v>24904710</c:v>
                </c:pt>
                <c:pt idx="6">
                  <c:v>27643050</c:v>
                </c:pt>
                <c:pt idx="7">
                  <c:v>30541350</c:v>
                </c:pt>
                <c:pt idx="8">
                  <c:v>33635860</c:v>
                </c:pt>
                <c:pt idx="9">
                  <c:v>37173040</c:v>
                </c:pt>
                <c:pt idx="10">
                  <c:v>41398390</c:v>
                </c:pt>
                <c:pt idx="11">
                  <c:v>46083170</c:v>
                </c:pt>
                <c:pt idx="12">
                  <c:v>51120480</c:v>
                </c:pt>
                <c:pt idx="13">
                  <c:v>55886980</c:v>
                </c:pt>
                <c:pt idx="14">
                  <c:v>59829690</c:v>
                </c:pt>
                <c:pt idx="15">
                  <c:v>62621370</c:v>
                </c:pt>
                <c:pt idx="16">
                  <c:v>64094700</c:v>
                </c:pt>
                <c:pt idx="17">
                  <c:v>64175810</c:v>
                </c:pt>
                <c:pt idx="18">
                  <c:v>63014770</c:v>
                </c:pt>
                <c:pt idx="19">
                  <c:v>60772710</c:v>
                </c:pt>
                <c:pt idx="20">
                  <c:v>57891370</c:v>
                </c:pt>
                <c:pt idx="21">
                  <c:v>54442160</c:v>
                </c:pt>
                <c:pt idx="22">
                  <c:v>54086110</c:v>
                </c:pt>
                <c:pt idx="23">
                  <c:v>54188870</c:v>
                </c:pt>
                <c:pt idx="24">
                  <c:v>54122270</c:v>
                </c:pt>
                <c:pt idx="25">
                  <c:v>53923830</c:v>
                </c:pt>
                <c:pt idx="26">
                  <c:v>53614730</c:v>
                </c:pt>
                <c:pt idx="27">
                  <c:v>53192680</c:v>
                </c:pt>
                <c:pt idx="28">
                  <c:v>52721840</c:v>
                </c:pt>
                <c:pt idx="29">
                  <c:v>52210740</c:v>
                </c:pt>
                <c:pt idx="30">
                  <c:v>51746320</c:v>
                </c:pt>
                <c:pt idx="31">
                  <c:v>51280850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27-4A8A-BAD9-775879FC46D6}"/>
            </c:ext>
          </c:extLst>
        </c:ser>
        <c:ser>
          <c:idx val="13"/>
          <c:order val="13"/>
          <c:tx>
            <c:strRef>
              <c:f>'Total Energy'!$B$114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Energy'!$C$114:$AH$114</c:f>
              <c:numCache>
                <c:formatCode>General</c:formatCode>
                <c:ptCount val="32"/>
                <c:pt idx="0">
                  <c:v>11547872.9618</c:v>
                </c:pt>
                <c:pt idx="1">
                  <c:v>11537872.561799999</c:v>
                </c:pt>
                <c:pt idx="2">
                  <c:v>11506891.141799999</c:v>
                </c:pt>
                <c:pt idx="3">
                  <c:v>11461867.5228</c:v>
                </c:pt>
                <c:pt idx="4">
                  <c:v>11311755.841800001</c:v>
                </c:pt>
                <c:pt idx="5">
                  <c:v>11039911.160800001</c:v>
                </c:pt>
                <c:pt idx="6">
                  <c:v>10727430.6678</c:v>
                </c:pt>
                <c:pt idx="7">
                  <c:v>10343579.299799999</c:v>
                </c:pt>
                <c:pt idx="8">
                  <c:v>9936402.9668000005</c:v>
                </c:pt>
                <c:pt idx="9">
                  <c:v>9498127.5888</c:v>
                </c:pt>
                <c:pt idx="10">
                  <c:v>8981872.5947999991</c:v>
                </c:pt>
                <c:pt idx="11">
                  <c:v>8458958.7268000003</c:v>
                </c:pt>
                <c:pt idx="12">
                  <c:v>7889718.0328000002</c:v>
                </c:pt>
                <c:pt idx="13">
                  <c:v>7328043.8087999998</c:v>
                </c:pt>
                <c:pt idx="14">
                  <c:v>6789640.8117999993</c:v>
                </c:pt>
                <c:pt idx="15">
                  <c:v>6279736.4087999994</c:v>
                </c:pt>
                <c:pt idx="16">
                  <c:v>5840780.7948000003</c:v>
                </c:pt>
                <c:pt idx="17">
                  <c:v>5446227.9897999996</c:v>
                </c:pt>
                <c:pt idx="18">
                  <c:v>5091449.1107999999</c:v>
                </c:pt>
                <c:pt idx="19">
                  <c:v>4771637.2288000006</c:v>
                </c:pt>
                <c:pt idx="20">
                  <c:v>4478557.5427999999</c:v>
                </c:pt>
                <c:pt idx="21">
                  <c:v>4211505.4548000004</c:v>
                </c:pt>
                <c:pt idx="22">
                  <c:v>4057114.9528000001</c:v>
                </c:pt>
                <c:pt idx="23">
                  <c:v>3926097.3088000002</c:v>
                </c:pt>
                <c:pt idx="24">
                  <c:v>3816108.9978</c:v>
                </c:pt>
                <c:pt idx="25">
                  <c:v>3721328.3418000001</c:v>
                </c:pt>
                <c:pt idx="26">
                  <c:v>3637714.4448000002</c:v>
                </c:pt>
                <c:pt idx="27">
                  <c:v>3556877.0018000002</c:v>
                </c:pt>
                <c:pt idx="28">
                  <c:v>3479821.2738000001</c:v>
                </c:pt>
                <c:pt idx="29">
                  <c:v>3405490.4427999998</c:v>
                </c:pt>
                <c:pt idx="30">
                  <c:v>3331911.1667999998</c:v>
                </c:pt>
                <c:pt idx="31">
                  <c:v>3263103.9967999998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D27-4A8A-BAD9-775879FC46D6}"/>
            </c:ext>
          </c:extLst>
        </c:ser>
        <c:ser>
          <c:idx val="14"/>
          <c:order val="14"/>
          <c:tx>
            <c:strRef>
              <c:f>'Total Energy'!$B$115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Energy'!$C$115:$AH$115</c:f>
              <c:numCache>
                <c:formatCode>General</c:formatCode>
                <c:ptCount val="32"/>
                <c:pt idx="0">
                  <c:v>2016918.442</c:v>
                </c:pt>
                <c:pt idx="1">
                  <c:v>2017239.172</c:v>
                </c:pt>
                <c:pt idx="2">
                  <c:v>2019239.605</c:v>
                </c:pt>
                <c:pt idx="3">
                  <c:v>2021240.0279999999</c:v>
                </c:pt>
                <c:pt idx="4">
                  <c:v>2009846.45</c:v>
                </c:pt>
                <c:pt idx="5">
                  <c:v>2010246.774</c:v>
                </c:pt>
                <c:pt idx="6">
                  <c:v>2020981.5519999999</c:v>
                </c:pt>
                <c:pt idx="7">
                  <c:v>2022167.662</c:v>
                </c:pt>
                <c:pt idx="8">
                  <c:v>2023431.0419999999</c:v>
                </c:pt>
                <c:pt idx="9">
                  <c:v>2024733.9620000001</c:v>
                </c:pt>
                <c:pt idx="10">
                  <c:v>2026059.902</c:v>
                </c:pt>
                <c:pt idx="11">
                  <c:v>1940945.5719999999</c:v>
                </c:pt>
                <c:pt idx="12">
                  <c:v>1942230.922</c:v>
                </c:pt>
                <c:pt idx="13">
                  <c:v>1943523.0319999999</c:v>
                </c:pt>
                <c:pt idx="14">
                  <c:v>1944819.9720000001</c:v>
                </c:pt>
                <c:pt idx="15">
                  <c:v>1946120.412</c:v>
                </c:pt>
                <c:pt idx="16">
                  <c:v>1947423.382</c:v>
                </c:pt>
                <c:pt idx="17">
                  <c:v>1949423.932</c:v>
                </c:pt>
                <c:pt idx="18">
                  <c:v>1951424.362</c:v>
                </c:pt>
                <c:pt idx="19">
                  <c:v>1953424.682</c:v>
                </c:pt>
                <c:pt idx="20">
                  <c:v>1953424.7819999999</c:v>
                </c:pt>
                <c:pt idx="21">
                  <c:v>1953424.672</c:v>
                </c:pt>
                <c:pt idx="22">
                  <c:v>1953424.7819999999</c:v>
                </c:pt>
                <c:pt idx="23">
                  <c:v>1953424.7819999999</c:v>
                </c:pt>
                <c:pt idx="24">
                  <c:v>1953424.7819999999</c:v>
                </c:pt>
                <c:pt idx="25">
                  <c:v>1953424.682</c:v>
                </c:pt>
                <c:pt idx="26">
                  <c:v>1924215.422</c:v>
                </c:pt>
                <c:pt idx="27">
                  <c:v>1924215.422</c:v>
                </c:pt>
                <c:pt idx="28">
                  <c:v>1924215.422</c:v>
                </c:pt>
                <c:pt idx="29">
                  <c:v>1924215.422</c:v>
                </c:pt>
                <c:pt idx="30">
                  <c:v>1924215.422</c:v>
                </c:pt>
                <c:pt idx="31">
                  <c:v>1924215.422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27-4A8A-BAD9-775879FC46D6}"/>
            </c:ext>
          </c:extLst>
        </c:ser>
        <c:ser>
          <c:idx val="15"/>
          <c:order val="15"/>
          <c:tx>
            <c:strRef>
              <c:f>'Total Energy'!$B$111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Energy'!$C$111:$AH$111</c:f>
              <c:numCache>
                <c:formatCode>General</c:formatCode>
                <c:ptCount val="32"/>
                <c:pt idx="0">
                  <c:v>610090.47</c:v>
                </c:pt>
                <c:pt idx="1">
                  <c:v>610090.47199999995</c:v>
                </c:pt>
                <c:pt idx="2">
                  <c:v>610090.47345199995</c:v>
                </c:pt>
                <c:pt idx="3">
                  <c:v>610090.46515800001</c:v>
                </c:pt>
                <c:pt idx="4">
                  <c:v>5765269.6260000002</c:v>
                </c:pt>
                <c:pt idx="5">
                  <c:v>10918828.539999999</c:v>
                </c:pt>
                <c:pt idx="6">
                  <c:v>16071762.07</c:v>
                </c:pt>
                <c:pt idx="7">
                  <c:v>21225024.960000001</c:v>
                </c:pt>
                <c:pt idx="8">
                  <c:v>26378509.690000001</c:v>
                </c:pt>
                <c:pt idx="9">
                  <c:v>31532105.559999999</c:v>
                </c:pt>
                <c:pt idx="10">
                  <c:v>36685708.640000001</c:v>
                </c:pt>
                <c:pt idx="11">
                  <c:v>41839231.020000003</c:v>
                </c:pt>
                <c:pt idx="12">
                  <c:v>46992625.719999999</c:v>
                </c:pt>
                <c:pt idx="13">
                  <c:v>52145823.100000001</c:v>
                </c:pt>
                <c:pt idx="14">
                  <c:v>57298724.399999999</c:v>
                </c:pt>
                <c:pt idx="15">
                  <c:v>62451289.899999999</c:v>
                </c:pt>
                <c:pt idx="16">
                  <c:v>67603415.200000003</c:v>
                </c:pt>
                <c:pt idx="17">
                  <c:v>67603409.799999997</c:v>
                </c:pt>
                <c:pt idx="18">
                  <c:v>67603415.900000006</c:v>
                </c:pt>
                <c:pt idx="19">
                  <c:v>67603411.5</c:v>
                </c:pt>
                <c:pt idx="20">
                  <c:v>67603415.200000003</c:v>
                </c:pt>
                <c:pt idx="21">
                  <c:v>67603412.099999994</c:v>
                </c:pt>
                <c:pt idx="22">
                  <c:v>67603415</c:v>
                </c:pt>
                <c:pt idx="23">
                  <c:v>67603407.5</c:v>
                </c:pt>
                <c:pt idx="24">
                  <c:v>67603419.299999997</c:v>
                </c:pt>
                <c:pt idx="25">
                  <c:v>67603414.100000009</c:v>
                </c:pt>
                <c:pt idx="26">
                  <c:v>67603417.5</c:v>
                </c:pt>
                <c:pt idx="27">
                  <c:v>67603409.200000003</c:v>
                </c:pt>
                <c:pt idx="28">
                  <c:v>67603415.400000006</c:v>
                </c:pt>
                <c:pt idx="29">
                  <c:v>67603411.900000006</c:v>
                </c:pt>
                <c:pt idx="30">
                  <c:v>67603412.299999997</c:v>
                </c:pt>
                <c:pt idx="31">
                  <c:v>67603417.099999994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D27-4A8A-BAD9-775879FC46D6}"/>
            </c:ext>
          </c:extLst>
        </c:ser>
        <c:ser>
          <c:idx val="16"/>
          <c:order val="16"/>
          <c:tx>
            <c:strRef>
              <c:f>'Total Energy'!$B$116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Energy'!$C$116:$AH$116</c:f>
              <c:numCache>
                <c:formatCode>General</c:formatCode>
                <c:ptCount val="32"/>
                <c:pt idx="0">
                  <c:v>441453.027</c:v>
                </c:pt>
                <c:pt idx="1">
                  <c:v>875420.027</c:v>
                </c:pt>
                <c:pt idx="2">
                  <c:v>875420.12699999998</c:v>
                </c:pt>
                <c:pt idx="3">
                  <c:v>875420.12699999998</c:v>
                </c:pt>
                <c:pt idx="4">
                  <c:v>874554.62699999998</c:v>
                </c:pt>
                <c:pt idx="5">
                  <c:v>873669.32700000005</c:v>
                </c:pt>
                <c:pt idx="6">
                  <c:v>887979.98800000001</c:v>
                </c:pt>
                <c:pt idx="7">
                  <c:v>887014.46899999992</c:v>
                </c:pt>
                <c:pt idx="8">
                  <c:v>886048.95200000005</c:v>
                </c:pt>
                <c:pt idx="9">
                  <c:v>885083.53700000001</c:v>
                </c:pt>
                <c:pt idx="10">
                  <c:v>884118.125</c:v>
                </c:pt>
                <c:pt idx="11">
                  <c:v>869391.31400000001</c:v>
                </c:pt>
                <c:pt idx="12">
                  <c:v>868327.56400000001</c:v>
                </c:pt>
                <c:pt idx="13">
                  <c:v>867263.61599999992</c:v>
                </c:pt>
                <c:pt idx="14">
                  <c:v>866199.37</c:v>
                </c:pt>
                <c:pt idx="15">
                  <c:v>865134.62600000005</c:v>
                </c:pt>
                <c:pt idx="16">
                  <c:v>864069.28399999999</c:v>
                </c:pt>
                <c:pt idx="17">
                  <c:v>864076.83699999994</c:v>
                </c:pt>
                <c:pt idx="18">
                  <c:v>864084.39199999999</c:v>
                </c:pt>
                <c:pt idx="19">
                  <c:v>864091.95</c:v>
                </c:pt>
                <c:pt idx="20">
                  <c:v>864099.50899999996</c:v>
                </c:pt>
                <c:pt idx="21">
                  <c:v>864107.071</c:v>
                </c:pt>
                <c:pt idx="22">
                  <c:v>864109.82</c:v>
                </c:pt>
                <c:pt idx="23">
                  <c:v>864112.571</c:v>
                </c:pt>
                <c:pt idx="24">
                  <c:v>864115.32400000002</c:v>
                </c:pt>
                <c:pt idx="25">
                  <c:v>864118.07900000003</c:v>
                </c:pt>
                <c:pt idx="26">
                  <c:v>854128.93599999999</c:v>
                </c:pt>
                <c:pt idx="27">
                  <c:v>854128.17299999995</c:v>
                </c:pt>
                <c:pt idx="28">
                  <c:v>854127.41099999996</c:v>
                </c:pt>
                <c:pt idx="29">
                  <c:v>854126.652</c:v>
                </c:pt>
                <c:pt idx="30">
                  <c:v>854125.89399999997</c:v>
                </c:pt>
                <c:pt idx="31">
                  <c:v>854125.13899999997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D27-4A8A-BAD9-775879FC46D6}"/>
            </c:ext>
          </c:extLst>
        </c:ser>
        <c:ser>
          <c:idx val="17"/>
          <c:order val="17"/>
          <c:tx>
            <c:strRef>
              <c:f>'Total Energy'!$B$110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Energy'!$C$110:$AH$110</c:f>
              <c:numCache>
                <c:formatCode>General</c:formatCode>
                <c:ptCount val="32"/>
                <c:pt idx="0">
                  <c:v>0</c:v>
                </c:pt>
                <c:pt idx="1">
                  <c:v>366293.1</c:v>
                </c:pt>
                <c:pt idx="2">
                  <c:v>927074</c:v>
                </c:pt>
                <c:pt idx="3">
                  <c:v>1469736</c:v>
                </c:pt>
                <c:pt idx="4">
                  <c:v>1994255</c:v>
                </c:pt>
                <c:pt idx="5">
                  <c:v>2500814</c:v>
                </c:pt>
                <c:pt idx="6">
                  <c:v>3111676.4</c:v>
                </c:pt>
                <c:pt idx="7">
                  <c:v>3572822</c:v>
                </c:pt>
                <c:pt idx="8">
                  <c:v>4014790.6</c:v>
                </c:pt>
                <c:pt idx="9">
                  <c:v>4445785.2</c:v>
                </c:pt>
                <c:pt idx="10">
                  <c:v>4869029.8</c:v>
                </c:pt>
                <c:pt idx="11">
                  <c:v>5288718.4000000004</c:v>
                </c:pt>
                <c:pt idx="12">
                  <c:v>5703101.4000000004</c:v>
                </c:pt>
                <c:pt idx="13">
                  <c:v>6117583.5</c:v>
                </c:pt>
                <c:pt idx="14">
                  <c:v>6532501.5</c:v>
                </c:pt>
                <c:pt idx="15">
                  <c:v>6947700.5999999996</c:v>
                </c:pt>
                <c:pt idx="16">
                  <c:v>7363015.5999999996</c:v>
                </c:pt>
                <c:pt idx="17">
                  <c:v>7778388.5999999996</c:v>
                </c:pt>
                <c:pt idx="18">
                  <c:v>8194068.5</c:v>
                </c:pt>
                <c:pt idx="19">
                  <c:v>8610171.5</c:v>
                </c:pt>
                <c:pt idx="20">
                  <c:v>9026651.5</c:v>
                </c:pt>
                <c:pt idx="21">
                  <c:v>9443377.4000000004</c:v>
                </c:pt>
                <c:pt idx="22">
                  <c:v>9854707.9000000004</c:v>
                </c:pt>
                <c:pt idx="23">
                  <c:v>10265132.300000001</c:v>
                </c:pt>
                <c:pt idx="24">
                  <c:v>10674290.699999999</c:v>
                </c:pt>
                <c:pt idx="25">
                  <c:v>11081689.1</c:v>
                </c:pt>
                <c:pt idx="26">
                  <c:v>11486827.5</c:v>
                </c:pt>
                <c:pt idx="27">
                  <c:v>11893438.9</c:v>
                </c:pt>
                <c:pt idx="28">
                  <c:v>12297300.4</c:v>
                </c:pt>
                <c:pt idx="29">
                  <c:v>12698191.800000001</c:v>
                </c:pt>
                <c:pt idx="30">
                  <c:v>13096013.199999999</c:v>
                </c:pt>
                <c:pt idx="31">
                  <c:v>13490694.6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D27-4A8A-BAD9-775879FC4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90001"/>
        <c:axId val="50490002"/>
      </c:areaChart>
      <c:catAx>
        <c:axId val="504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90002"/>
        <c:crosses val="autoZero"/>
        <c:auto val="1"/>
        <c:lblAlgn val="ctr"/>
        <c:lblOffset val="100"/>
        <c:tickLblSkip val="2"/>
        <c:noMultiLvlLbl val="0"/>
      </c:catAx>
      <c:valAx>
        <c:axId val="504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49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Emissions'!$B$26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Emissions'!$C$26,'Total Emissions'!$AH$26)</c:f>
              <c:numCache>
                <c:formatCode>General</c:formatCode>
                <c:ptCount val="2"/>
                <c:pt idx="0">
                  <c:v>48408352.039399996</c:v>
                </c:pt>
                <c:pt idx="1">
                  <c:v>9217614.5539999995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6-4F21-A90D-EC02035E053A}"/>
            </c:ext>
          </c:extLst>
        </c:ser>
        <c:ser>
          <c:idx val="1"/>
          <c:order val="1"/>
          <c:tx>
            <c:strRef>
              <c:f>'Total Emissions'!$B$24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Emissions'!$C$24,'Total Emissions'!$AH$24)</c:f>
              <c:numCache>
                <c:formatCode>General</c:formatCode>
                <c:ptCount val="2"/>
                <c:pt idx="0">
                  <c:v>20476927.013766222</c:v>
                </c:pt>
                <c:pt idx="1">
                  <c:v>8271176.23282756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6-4F21-A90D-EC02035E053A}"/>
            </c:ext>
          </c:extLst>
        </c:ser>
        <c:ser>
          <c:idx val="2"/>
          <c:order val="2"/>
          <c:tx>
            <c:strRef>
              <c:f>'Total Emissions'!$B$22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Emissions'!$C$22,'Total Emissions'!$AH$22)</c:f>
              <c:numCache>
                <c:formatCode>General</c:formatCode>
                <c:ptCount val="2"/>
                <c:pt idx="0">
                  <c:v>18990147.210269999</c:v>
                </c:pt>
                <c:pt idx="1">
                  <c:v>2775663.9537376999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46-4F21-A90D-EC02035E053A}"/>
            </c:ext>
          </c:extLst>
        </c:ser>
        <c:ser>
          <c:idx val="3"/>
          <c:order val="3"/>
          <c:tx>
            <c:strRef>
              <c:f>'Total Emissions'!$B$25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Emissions'!$C$25,'Total Emissions'!$AH$25)</c:f>
              <c:numCache>
                <c:formatCode>General</c:formatCode>
                <c:ptCount val="2"/>
                <c:pt idx="0">
                  <c:v>9744535.1999999993</c:v>
                </c:pt>
                <c:pt idx="1">
                  <c:v>148154.050469312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46-4F21-A90D-EC02035E053A}"/>
            </c:ext>
          </c:extLst>
        </c:ser>
        <c:ser>
          <c:idx val="4"/>
          <c:order val="4"/>
          <c:tx>
            <c:strRef>
              <c:f>'Total Emissions'!$B$21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Emissions'!$C$21,'Total Emissions'!$AH$21)</c:f>
              <c:numCache>
                <c:formatCode>General</c:formatCode>
                <c:ptCount val="2"/>
                <c:pt idx="0">
                  <c:v>7899613.5607049996</c:v>
                </c:pt>
                <c:pt idx="1">
                  <c:v>242015.49326545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46-4F21-A90D-EC02035E053A}"/>
            </c:ext>
          </c:extLst>
        </c:ser>
        <c:ser>
          <c:idx val="5"/>
          <c:order val="5"/>
          <c:tx>
            <c:strRef>
              <c:f>'Total Emissions'!$B$20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Emissions'!$C$20,'Total Emissions'!$AH$20)</c:f>
              <c:numCache>
                <c:formatCode>General</c:formatCode>
                <c:ptCount val="2"/>
                <c:pt idx="0">
                  <c:v>378717.85989999998</c:v>
                </c:pt>
                <c:pt idx="1">
                  <c:v>498.15882667400001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46-4F21-A90D-EC02035E053A}"/>
            </c:ext>
          </c:extLst>
        </c:ser>
        <c:ser>
          <c:idx val="6"/>
          <c:order val="6"/>
          <c:tx>
            <c:strRef>
              <c:f>'Total Emissions'!$B$23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Emissions'!$C$23,'Total Emissions'!$AH$23)</c:f>
              <c:numCache>
                <c:formatCode>General</c:formatCode>
                <c:ptCount val="2"/>
                <c:pt idx="0">
                  <c:v>221100.7</c:v>
                </c:pt>
                <c:pt idx="1">
                  <c:v>53563.99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46-4F21-A90D-EC02035E0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50001"/>
        <c:axId val="50050002"/>
      </c:barChart>
      <c:catAx>
        <c:axId val="500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50002"/>
        <c:crosses val="autoZero"/>
        <c:auto val="1"/>
        <c:lblAlgn val="ctr"/>
        <c:lblOffset val="100"/>
        <c:noMultiLvlLbl val="0"/>
      </c:catAx>
      <c:valAx>
        <c:axId val="500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5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Energy'!$B$112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Energy'!$C$112,'Total Energy'!$AH$112)</c:f>
              <c:numCache>
                <c:formatCode>General</c:formatCode>
                <c:ptCount val="2"/>
                <c:pt idx="0">
                  <c:v>368529502.75</c:v>
                </c:pt>
                <c:pt idx="1">
                  <c:v>69655553.469999999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C-44DC-8ABD-C34EB3399420}"/>
            </c:ext>
          </c:extLst>
        </c:ser>
        <c:ser>
          <c:idx val="1"/>
          <c:order val="1"/>
          <c:tx>
            <c:strRef>
              <c:f>'Total Energy'!$B$118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Energy'!$C$118,'Total Energy'!$AH$118)</c:f>
              <c:numCache>
                <c:formatCode>General</c:formatCode>
                <c:ptCount val="2"/>
                <c:pt idx="0">
                  <c:v>363857100</c:v>
                </c:pt>
                <c:pt idx="1">
                  <c:v>344097400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C-44DC-8ABD-C34EB3399420}"/>
            </c:ext>
          </c:extLst>
        </c:ser>
        <c:ser>
          <c:idx val="2"/>
          <c:order val="2"/>
          <c:tx>
            <c:strRef>
              <c:f>'Total Energy'!$B$107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Energy'!$C$107,'Total Energy'!$AH$107)</c:f>
              <c:numCache>
                <c:formatCode>General</c:formatCode>
                <c:ptCount val="2"/>
                <c:pt idx="0">
                  <c:v>344926100</c:v>
                </c:pt>
                <c:pt idx="1">
                  <c:v>571681.4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C-44DC-8ABD-C34EB3399420}"/>
            </c:ext>
          </c:extLst>
        </c:ser>
        <c:ser>
          <c:idx val="3"/>
          <c:order val="3"/>
          <c:tx>
            <c:strRef>
              <c:f>'Total Energy'!$B$109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Energy'!$C$109,'Total Energy'!$AH$109)</c:f>
              <c:numCache>
                <c:formatCode>General</c:formatCode>
                <c:ptCount val="2"/>
                <c:pt idx="0">
                  <c:v>321326760.80000001</c:v>
                </c:pt>
                <c:pt idx="1">
                  <c:v>357683310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C-44DC-8ABD-C34EB3399420}"/>
            </c:ext>
          </c:extLst>
        </c:ser>
        <c:ser>
          <c:idx val="4"/>
          <c:order val="4"/>
          <c:tx>
            <c:strRef>
              <c:f>'Total Energy'!$B$105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Energy'!$C$105,'Total Energy'!$AH$105)</c:f>
              <c:numCache>
                <c:formatCode>General</c:formatCode>
                <c:ptCount val="2"/>
                <c:pt idx="0">
                  <c:v>216163500</c:v>
                </c:pt>
                <c:pt idx="1">
                  <c:v>33317610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FC-44DC-8ABD-C34EB3399420}"/>
            </c:ext>
          </c:extLst>
        </c:ser>
        <c:ser>
          <c:idx val="5"/>
          <c:order val="5"/>
          <c:tx>
            <c:strRef>
              <c:f>'Total Energy'!$B$120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Energy'!$C$120,'Total Energy'!$AH$120)</c:f>
              <c:numCache>
                <c:formatCode>General</c:formatCode>
                <c:ptCount val="2"/>
                <c:pt idx="0">
                  <c:v>125996294</c:v>
                </c:pt>
                <c:pt idx="1">
                  <c:v>91362855.420000002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FC-44DC-8ABD-C34EB3399420}"/>
            </c:ext>
          </c:extLst>
        </c:ser>
        <c:ser>
          <c:idx val="6"/>
          <c:order val="6"/>
          <c:tx>
            <c:strRef>
              <c:f>'Total Energy'!$B$113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Energy'!$C$113,'Total Energy'!$AH$113)</c:f>
              <c:numCache>
                <c:formatCode>General</c:formatCode>
                <c:ptCount val="2"/>
                <c:pt idx="0">
                  <c:v>97427065.099999994</c:v>
                </c:pt>
                <c:pt idx="1">
                  <c:v>58924647.100000001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FC-44DC-8ABD-C34EB3399420}"/>
            </c:ext>
          </c:extLst>
        </c:ser>
        <c:ser>
          <c:idx val="7"/>
          <c:order val="7"/>
          <c:tx>
            <c:strRef>
              <c:f>'Total Energy'!$B$106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Energy'!$C$106,'Total Energy'!$AH$106)</c:f>
              <c:numCache>
                <c:formatCode>General</c:formatCode>
                <c:ptCount val="2"/>
                <c:pt idx="0">
                  <c:v>93733824.84300001</c:v>
                </c:pt>
                <c:pt idx="1">
                  <c:v>33511606.14683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FC-44DC-8ABD-C34EB3399420}"/>
            </c:ext>
          </c:extLst>
        </c:ser>
        <c:ser>
          <c:idx val="8"/>
          <c:order val="8"/>
          <c:tx>
            <c:strRef>
              <c:f>'Total Energy'!$B$104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Energy'!$C$104,'Total Energy'!$AH$104)</c:f>
              <c:numCache>
                <c:formatCode>General</c:formatCode>
                <c:ptCount val="2"/>
                <c:pt idx="0">
                  <c:v>67364420</c:v>
                </c:pt>
                <c:pt idx="1">
                  <c:v>3809297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FC-44DC-8ABD-C34EB3399420}"/>
            </c:ext>
          </c:extLst>
        </c:ser>
        <c:ser>
          <c:idx val="9"/>
          <c:order val="9"/>
          <c:tx>
            <c:strRef>
              <c:f>'Total Energy'!$B$117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Energy'!$C$117,'Total Energy'!$AH$117)</c:f>
              <c:numCache>
                <c:formatCode>General</c:formatCode>
                <c:ptCount val="2"/>
                <c:pt idx="0">
                  <c:v>62627730</c:v>
                </c:pt>
                <c:pt idx="1">
                  <c:v>60468120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FC-44DC-8ABD-C34EB3399420}"/>
            </c:ext>
          </c:extLst>
        </c:ser>
        <c:ser>
          <c:idx val="10"/>
          <c:order val="10"/>
          <c:tx>
            <c:strRef>
              <c:f>'Total Energy'!$B$103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Energy'!$C$103,'Total Energy'!$AH$103)</c:f>
              <c:numCache>
                <c:formatCode>General</c:formatCode>
                <c:ptCount val="2"/>
                <c:pt idx="0">
                  <c:v>52357190</c:v>
                </c:pt>
                <c:pt idx="1">
                  <c:v>52357184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FC-44DC-8ABD-C34EB3399420}"/>
            </c:ext>
          </c:extLst>
        </c:ser>
        <c:ser>
          <c:idx val="11"/>
          <c:order val="11"/>
          <c:tx>
            <c:strRef>
              <c:f>'Total Energy'!$B$119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Energy'!$C$119,'Total Energy'!$AH$119)</c:f>
              <c:numCache>
                <c:formatCode>General</c:formatCode>
                <c:ptCount val="2"/>
                <c:pt idx="0">
                  <c:v>43192630</c:v>
                </c:pt>
                <c:pt idx="1">
                  <c:v>44510120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FC-44DC-8ABD-C34EB3399420}"/>
            </c:ext>
          </c:extLst>
        </c:ser>
        <c:ser>
          <c:idx val="12"/>
          <c:order val="12"/>
          <c:tx>
            <c:strRef>
              <c:f>'Total Energy'!$B$108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Energy'!$C$108,'Total Energy'!$AH$108)</c:f>
              <c:numCache>
                <c:formatCode>General</c:formatCode>
                <c:ptCount val="2"/>
                <c:pt idx="0">
                  <c:v>18826570</c:v>
                </c:pt>
                <c:pt idx="1">
                  <c:v>51280850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FC-44DC-8ABD-C34EB3399420}"/>
            </c:ext>
          </c:extLst>
        </c:ser>
        <c:ser>
          <c:idx val="13"/>
          <c:order val="13"/>
          <c:tx>
            <c:strRef>
              <c:f>'Total Energy'!$B$114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Energy'!$C$114,'Total Energy'!$AH$114)</c:f>
              <c:numCache>
                <c:formatCode>General</c:formatCode>
                <c:ptCount val="2"/>
                <c:pt idx="0">
                  <c:v>11547872.9618</c:v>
                </c:pt>
                <c:pt idx="1">
                  <c:v>3263103.9967999998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FC-44DC-8ABD-C34EB3399420}"/>
            </c:ext>
          </c:extLst>
        </c:ser>
        <c:ser>
          <c:idx val="14"/>
          <c:order val="14"/>
          <c:tx>
            <c:strRef>
              <c:f>'Total Energy'!$B$115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Energy'!$C$115,'Total Energy'!$AH$115)</c:f>
              <c:numCache>
                <c:formatCode>General</c:formatCode>
                <c:ptCount val="2"/>
                <c:pt idx="0">
                  <c:v>2016918.442</c:v>
                </c:pt>
                <c:pt idx="1">
                  <c:v>1924215.422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AFC-44DC-8ABD-C34EB3399420}"/>
            </c:ext>
          </c:extLst>
        </c:ser>
        <c:ser>
          <c:idx val="15"/>
          <c:order val="15"/>
          <c:tx>
            <c:strRef>
              <c:f>'Total Energy'!$B$111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Energy'!$C$111,'Total Energy'!$AH$111)</c:f>
              <c:numCache>
                <c:formatCode>General</c:formatCode>
                <c:ptCount val="2"/>
                <c:pt idx="0">
                  <c:v>610090.47</c:v>
                </c:pt>
                <c:pt idx="1">
                  <c:v>67603417.099999994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AFC-44DC-8ABD-C34EB3399420}"/>
            </c:ext>
          </c:extLst>
        </c:ser>
        <c:ser>
          <c:idx val="16"/>
          <c:order val="16"/>
          <c:tx>
            <c:strRef>
              <c:f>'Total Energy'!$B$116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Energy'!$C$116,'Total Energy'!$AH$116)</c:f>
              <c:numCache>
                <c:formatCode>General</c:formatCode>
                <c:ptCount val="2"/>
                <c:pt idx="0">
                  <c:v>441453.027</c:v>
                </c:pt>
                <c:pt idx="1">
                  <c:v>854125.13899999997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FC-44DC-8ABD-C34EB3399420}"/>
            </c:ext>
          </c:extLst>
        </c:ser>
        <c:ser>
          <c:idx val="17"/>
          <c:order val="17"/>
          <c:tx>
            <c:strRef>
              <c:f>'Total Energy'!$B$110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Energy'!$C$110,'Total Energy'!$AH$110)</c:f>
              <c:numCache>
                <c:formatCode>General</c:formatCode>
                <c:ptCount val="2"/>
                <c:pt idx="0">
                  <c:v>0</c:v>
                </c:pt>
                <c:pt idx="1">
                  <c:v>13490694.6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FC-44DC-8ABD-C34EB3399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00001"/>
        <c:axId val="50500002"/>
      </c:barChart>
      <c:catAx>
        <c:axId val="505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00002"/>
        <c:crosses val="autoZero"/>
        <c:auto val="1"/>
        <c:lblAlgn val="ctr"/>
        <c:lblOffset val="100"/>
        <c:noMultiLvlLbl val="0"/>
      </c:catAx>
      <c:valAx>
        <c:axId val="505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0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Energy'!$B$131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Energy'!$C$131:$AH$131</c:f>
              <c:numCache>
                <c:formatCode>General</c:formatCode>
                <c:ptCount val="32"/>
                <c:pt idx="0">
                  <c:v>368529502.75</c:v>
                </c:pt>
                <c:pt idx="1">
                  <c:v>368041453.55000001</c:v>
                </c:pt>
                <c:pt idx="2">
                  <c:v>368879098.94999999</c:v>
                </c:pt>
                <c:pt idx="3">
                  <c:v>369291322.94999999</c:v>
                </c:pt>
                <c:pt idx="4">
                  <c:v>364633195.69</c:v>
                </c:pt>
                <c:pt idx="5">
                  <c:v>352428622.81999999</c:v>
                </c:pt>
                <c:pt idx="6">
                  <c:v>343637574.32999998</c:v>
                </c:pt>
                <c:pt idx="7">
                  <c:v>326872285.58999997</c:v>
                </c:pt>
                <c:pt idx="8">
                  <c:v>309989045.94</c:v>
                </c:pt>
                <c:pt idx="9">
                  <c:v>292868661.86000001</c:v>
                </c:pt>
                <c:pt idx="10">
                  <c:v>273266576.26999998</c:v>
                </c:pt>
                <c:pt idx="11">
                  <c:v>186950192.25999999</c:v>
                </c:pt>
                <c:pt idx="12">
                  <c:v>163929228.22999999</c:v>
                </c:pt>
                <c:pt idx="13">
                  <c:v>141410922.53999999</c:v>
                </c:pt>
                <c:pt idx="14">
                  <c:v>119695153.56999999</c:v>
                </c:pt>
                <c:pt idx="15">
                  <c:v>98426595.400999993</c:v>
                </c:pt>
                <c:pt idx="16">
                  <c:v>80110954.063999996</c:v>
                </c:pt>
                <c:pt idx="17">
                  <c:v>69222384.800999999</c:v>
                </c:pt>
                <c:pt idx="18">
                  <c:v>59004776.222999997</c:v>
                </c:pt>
                <c:pt idx="19">
                  <c:v>49362582.494000003</c:v>
                </c:pt>
                <c:pt idx="20">
                  <c:v>39825425.612000003</c:v>
                </c:pt>
                <c:pt idx="21">
                  <c:v>31565304.125999998</c:v>
                </c:pt>
                <c:pt idx="22">
                  <c:v>28289843.588</c:v>
                </c:pt>
                <c:pt idx="23">
                  <c:v>25331145.555</c:v>
                </c:pt>
                <c:pt idx="24">
                  <c:v>22599132.258000001</c:v>
                </c:pt>
                <c:pt idx="25">
                  <c:v>19899421.351100001</c:v>
                </c:pt>
                <c:pt idx="26">
                  <c:v>7137681.9065000014</c:v>
                </c:pt>
                <c:pt idx="27">
                  <c:v>5211230.2632999998</c:v>
                </c:pt>
                <c:pt idx="28">
                  <c:v>3359366.6261</c:v>
                </c:pt>
                <c:pt idx="29">
                  <c:v>1828204.0129950221</c:v>
                </c:pt>
                <c:pt idx="30">
                  <c:v>992048.15308411641</c:v>
                </c:pt>
                <c:pt idx="31">
                  <c:v>144032.7126786334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E-4332-BA88-733D0D29E518}"/>
            </c:ext>
          </c:extLst>
        </c:ser>
        <c:ser>
          <c:idx val="1"/>
          <c:order val="1"/>
          <c:tx>
            <c:strRef>
              <c:f>'Total Energy'!$B$137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Energy'!$C$137:$AH$137</c:f>
              <c:numCache>
                <c:formatCode>General</c:formatCode>
                <c:ptCount val="32"/>
                <c:pt idx="0">
                  <c:v>363857100</c:v>
                </c:pt>
                <c:pt idx="1">
                  <c:v>364100300</c:v>
                </c:pt>
                <c:pt idx="2">
                  <c:v>364100300</c:v>
                </c:pt>
                <c:pt idx="3">
                  <c:v>364100300</c:v>
                </c:pt>
                <c:pt idx="4">
                  <c:v>364100300</c:v>
                </c:pt>
                <c:pt idx="5">
                  <c:v>364100300</c:v>
                </c:pt>
                <c:pt idx="6">
                  <c:v>374913700</c:v>
                </c:pt>
                <c:pt idx="7">
                  <c:v>374913700</c:v>
                </c:pt>
                <c:pt idx="8">
                  <c:v>374913700</c:v>
                </c:pt>
                <c:pt idx="9">
                  <c:v>374913700</c:v>
                </c:pt>
                <c:pt idx="10">
                  <c:v>374913700</c:v>
                </c:pt>
                <c:pt idx="11">
                  <c:v>361308900</c:v>
                </c:pt>
                <c:pt idx="12">
                  <c:v>361308900</c:v>
                </c:pt>
                <c:pt idx="13">
                  <c:v>361308900</c:v>
                </c:pt>
                <c:pt idx="14">
                  <c:v>361308900</c:v>
                </c:pt>
                <c:pt idx="15">
                  <c:v>361308900</c:v>
                </c:pt>
                <c:pt idx="16">
                  <c:v>361308900</c:v>
                </c:pt>
                <c:pt idx="17">
                  <c:v>361308900</c:v>
                </c:pt>
                <c:pt idx="18">
                  <c:v>361308900</c:v>
                </c:pt>
                <c:pt idx="19">
                  <c:v>361308900</c:v>
                </c:pt>
                <c:pt idx="20">
                  <c:v>361308900</c:v>
                </c:pt>
                <c:pt idx="21">
                  <c:v>361308900</c:v>
                </c:pt>
                <c:pt idx="22">
                  <c:v>361308900</c:v>
                </c:pt>
                <c:pt idx="23">
                  <c:v>361308900</c:v>
                </c:pt>
                <c:pt idx="24">
                  <c:v>361308900</c:v>
                </c:pt>
                <c:pt idx="25">
                  <c:v>361308900</c:v>
                </c:pt>
                <c:pt idx="26">
                  <c:v>353505700</c:v>
                </c:pt>
                <c:pt idx="27">
                  <c:v>353505700</c:v>
                </c:pt>
                <c:pt idx="28">
                  <c:v>353505700</c:v>
                </c:pt>
                <c:pt idx="29">
                  <c:v>353505700</c:v>
                </c:pt>
                <c:pt idx="30">
                  <c:v>353505700</c:v>
                </c:pt>
                <c:pt idx="31">
                  <c:v>353505700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DE-4332-BA88-733D0D29E518}"/>
            </c:ext>
          </c:extLst>
        </c:ser>
        <c:ser>
          <c:idx val="2"/>
          <c:order val="2"/>
          <c:tx>
            <c:strRef>
              <c:f>'Total Energy'!$B$126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Energy'!$C$126:$AH$126</c:f>
              <c:numCache>
                <c:formatCode>General</c:formatCode>
                <c:ptCount val="32"/>
                <c:pt idx="0">
                  <c:v>344926100</c:v>
                </c:pt>
                <c:pt idx="1">
                  <c:v>344177300</c:v>
                </c:pt>
                <c:pt idx="2">
                  <c:v>329323000</c:v>
                </c:pt>
                <c:pt idx="3">
                  <c:v>312288500</c:v>
                </c:pt>
                <c:pt idx="4">
                  <c:v>296353600</c:v>
                </c:pt>
                <c:pt idx="5">
                  <c:v>276729600</c:v>
                </c:pt>
                <c:pt idx="6">
                  <c:v>246714800</c:v>
                </c:pt>
                <c:pt idx="7">
                  <c:v>225111800</c:v>
                </c:pt>
                <c:pt idx="8">
                  <c:v>202024400</c:v>
                </c:pt>
                <c:pt idx="9">
                  <c:v>178511700</c:v>
                </c:pt>
                <c:pt idx="10">
                  <c:v>156075300</c:v>
                </c:pt>
                <c:pt idx="11">
                  <c:v>136612500</c:v>
                </c:pt>
                <c:pt idx="12">
                  <c:v>120095500</c:v>
                </c:pt>
                <c:pt idx="13">
                  <c:v>105835400</c:v>
                </c:pt>
                <c:pt idx="14">
                  <c:v>92930430</c:v>
                </c:pt>
                <c:pt idx="15">
                  <c:v>78802110</c:v>
                </c:pt>
                <c:pt idx="16">
                  <c:v>66993620</c:v>
                </c:pt>
                <c:pt idx="17">
                  <c:v>58494170</c:v>
                </c:pt>
                <c:pt idx="18">
                  <c:v>50048760</c:v>
                </c:pt>
                <c:pt idx="19">
                  <c:v>42094830</c:v>
                </c:pt>
                <c:pt idx="20">
                  <c:v>35416690</c:v>
                </c:pt>
                <c:pt idx="21">
                  <c:v>29467150</c:v>
                </c:pt>
                <c:pt idx="22">
                  <c:v>24157510</c:v>
                </c:pt>
                <c:pt idx="23">
                  <c:v>19328200</c:v>
                </c:pt>
                <c:pt idx="24">
                  <c:v>15116050</c:v>
                </c:pt>
                <c:pt idx="25">
                  <c:v>11550030</c:v>
                </c:pt>
                <c:pt idx="26">
                  <c:v>8584650</c:v>
                </c:pt>
                <c:pt idx="27">
                  <c:v>6165961</c:v>
                </c:pt>
                <c:pt idx="28">
                  <c:v>4237493</c:v>
                </c:pt>
                <c:pt idx="29">
                  <c:v>2724187</c:v>
                </c:pt>
                <c:pt idx="30">
                  <c:v>1535964</c:v>
                </c:pt>
                <c:pt idx="31">
                  <c:v>571681.4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E-4332-BA88-733D0D29E518}"/>
            </c:ext>
          </c:extLst>
        </c:ser>
        <c:ser>
          <c:idx val="3"/>
          <c:order val="3"/>
          <c:tx>
            <c:strRef>
              <c:f>'Total Energy'!$B$128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Energy'!$C$128:$AH$128</c:f>
              <c:numCache>
                <c:formatCode>General</c:formatCode>
                <c:ptCount val="32"/>
                <c:pt idx="0">
                  <c:v>321326760.80000001</c:v>
                </c:pt>
                <c:pt idx="1">
                  <c:v>322066060.69999999</c:v>
                </c:pt>
                <c:pt idx="2">
                  <c:v>324006773</c:v>
                </c:pt>
                <c:pt idx="3">
                  <c:v>332080348.5</c:v>
                </c:pt>
                <c:pt idx="4">
                  <c:v>338920975</c:v>
                </c:pt>
                <c:pt idx="5">
                  <c:v>346086633.5</c:v>
                </c:pt>
                <c:pt idx="6">
                  <c:v>352551699.10000002</c:v>
                </c:pt>
                <c:pt idx="7">
                  <c:v>357175085.69999999</c:v>
                </c:pt>
                <c:pt idx="8">
                  <c:v>361902242.19999999</c:v>
                </c:pt>
                <c:pt idx="9">
                  <c:v>366672369.69999999</c:v>
                </c:pt>
                <c:pt idx="10">
                  <c:v>371088262.89999998</c:v>
                </c:pt>
                <c:pt idx="11">
                  <c:v>375529407</c:v>
                </c:pt>
                <c:pt idx="12">
                  <c:v>380591499</c:v>
                </c:pt>
                <c:pt idx="13">
                  <c:v>384772564.10000002</c:v>
                </c:pt>
                <c:pt idx="14">
                  <c:v>388199450.80000001</c:v>
                </c:pt>
                <c:pt idx="15">
                  <c:v>390960862</c:v>
                </c:pt>
                <c:pt idx="16">
                  <c:v>393984732.30000001</c:v>
                </c:pt>
                <c:pt idx="17">
                  <c:v>391003022.39999998</c:v>
                </c:pt>
                <c:pt idx="18">
                  <c:v>387682377.10000002</c:v>
                </c:pt>
                <c:pt idx="19">
                  <c:v>383727194.80000001</c:v>
                </c:pt>
                <c:pt idx="20">
                  <c:v>378895520.19999999</c:v>
                </c:pt>
                <c:pt idx="21">
                  <c:v>373735457.5</c:v>
                </c:pt>
                <c:pt idx="22">
                  <c:v>375844310.19999999</c:v>
                </c:pt>
                <c:pt idx="23">
                  <c:v>378338354.19999999</c:v>
                </c:pt>
                <c:pt idx="24">
                  <c:v>380733009.5</c:v>
                </c:pt>
                <c:pt idx="25">
                  <c:v>382903541.89999998</c:v>
                </c:pt>
                <c:pt idx="26">
                  <c:v>385367931</c:v>
                </c:pt>
                <c:pt idx="27">
                  <c:v>387260557.89999998</c:v>
                </c:pt>
                <c:pt idx="28">
                  <c:v>388957167</c:v>
                </c:pt>
                <c:pt idx="29">
                  <c:v>390497990.39999998</c:v>
                </c:pt>
                <c:pt idx="30">
                  <c:v>391706115.10000002</c:v>
                </c:pt>
                <c:pt idx="31">
                  <c:v>393345630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DE-4332-BA88-733D0D29E518}"/>
            </c:ext>
          </c:extLst>
        </c:ser>
        <c:ser>
          <c:idx val="4"/>
          <c:order val="4"/>
          <c:tx>
            <c:strRef>
              <c:f>'Total Energy'!$B$124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Energy'!$C$124:$AH$124</c:f>
              <c:numCache>
                <c:formatCode>General</c:formatCode>
                <c:ptCount val="32"/>
                <c:pt idx="0">
                  <c:v>216163500</c:v>
                </c:pt>
                <c:pt idx="1">
                  <c:v>207066200</c:v>
                </c:pt>
                <c:pt idx="2">
                  <c:v>197572400</c:v>
                </c:pt>
                <c:pt idx="3">
                  <c:v>187851000</c:v>
                </c:pt>
                <c:pt idx="4">
                  <c:v>178327300</c:v>
                </c:pt>
                <c:pt idx="5">
                  <c:v>167075100</c:v>
                </c:pt>
                <c:pt idx="6">
                  <c:v>156690800</c:v>
                </c:pt>
                <c:pt idx="7">
                  <c:v>145680900</c:v>
                </c:pt>
                <c:pt idx="8">
                  <c:v>135206700</c:v>
                </c:pt>
                <c:pt idx="9">
                  <c:v>125008800</c:v>
                </c:pt>
                <c:pt idx="10">
                  <c:v>115094200</c:v>
                </c:pt>
                <c:pt idx="11">
                  <c:v>105629400</c:v>
                </c:pt>
                <c:pt idx="12">
                  <c:v>96538940</c:v>
                </c:pt>
                <c:pt idx="13">
                  <c:v>87864320</c:v>
                </c:pt>
                <c:pt idx="14">
                  <c:v>79431420</c:v>
                </c:pt>
                <c:pt idx="15">
                  <c:v>71072400</c:v>
                </c:pt>
                <c:pt idx="16">
                  <c:v>63188660</c:v>
                </c:pt>
                <c:pt idx="17">
                  <c:v>58856150</c:v>
                </c:pt>
                <c:pt idx="18">
                  <c:v>54599440</c:v>
                </c:pt>
                <c:pt idx="19">
                  <c:v>50467150</c:v>
                </c:pt>
                <c:pt idx="20">
                  <c:v>47151590</c:v>
                </c:pt>
                <c:pt idx="21">
                  <c:v>43924840</c:v>
                </c:pt>
                <c:pt idx="22">
                  <c:v>42561830</c:v>
                </c:pt>
                <c:pt idx="23">
                  <c:v>41260250</c:v>
                </c:pt>
                <c:pt idx="24">
                  <c:v>40035240</c:v>
                </c:pt>
                <c:pt idx="25">
                  <c:v>38889810</c:v>
                </c:pt>
                <c:pt idx="26">
                  <c:v>37818410</c:v>
                </c:pt>
                <c:pt idx="27">
                  <c:v>36815590</c:v>
                </c:pt>
                <c:pt idx="28">
                  <c:v>35873330</c:v>
                </c:pt>
                <c:pt idx="29">
                  <c:v>34983240</c:v>
                </c:pt>
                <c:pt idx="30">
                  <c:v>34135170</c:v>
                </c:pt>
                <c:pt idx="31">
                  <c:v>33317610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DE-4332-BA88-733D0D29E518}"/>
            </c:ext>
          </c:extLst>
        </c:ser>
        <c:ser>
          <c:idx val="5"/>
          <c:order val="5"/>
          <c:tx>
            <c:strRef>
              <c:f>'Total Energy'!$B$139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Energy'!$C$139:$AH$139</c:f>
              <c:numCache>
                <c:formatCode>General</c:formatCode>
                <c:ptCount val="32"/>
                <c:pt idx="0">
                  <c:v>125996294</c:v>
                </c:pt>
                <c:pt idx="1">
                  <c:v>126012723</c:v>
                </c:pt>
                <c:pt idx="2">
                  <c:v>125922658</c:v>
                </c:pt>
                <c:pt idx="3">
                  <c:v>125802599</c:v>
                </c:pt>
                <c:pt idx="4">
                  <c:v>125612669</c:v>
                </c:pt>
                <c:pt idx="5">
                  <c:v>125369606</c:v>
                </c:pt>
                <c:pt idx="6">
                  <c:v>124670931</c:v>
                </c:pt>
                <c:pt idx="7">
                  <c:v>122957599</c:v>
                </c:pt>
                <c:pt idx="8">
                  <c:v>121259706</c:v>
                </c:pt>
                <c:pt idx="9">
                  <c:v>119560394</c:v>
                </c:pt>
                <c:pt idx="10">
                  <c:v>117842191</c:v>
                </c:pt>
                <c:pt idx="11">
                  <c:v>114903053</c:v>
                </c:pt>
                <c:pt idx="12">
                  <c:v>113218793</c:v>
                </c:pt>
                <c:pt idx="13">
                  <c:v>111573359</c:v>
                </c:pt>
                <c:pt idx="14">
                  <c:v>109989545</c:v>
                </c:pt>
                <c:pt idx="15">
                  <c:v>108484646</c:v>
                </c:pt>
                <c:pt idx="16">
                  <c:v>107069470</c:v>
                </c:pt>
                <c:pt idx="17">
                  <c:v>105795551.2</c:v>
                </c:pt>
                <c:pt idx="18">
                  <c:v>104613916.09999999</c:v>
                </c:pt>
                <c:pt idx="19">
                  <c:v>103517515</c:v>
                </c:pt>
                <c:pt idx="20">
                  <c:v>102496051.09999999</c:v>
                </c:pt>
                <c:pt idx="21">
                  <c:v>101536529.90000001</c:v>
                </c:pt>
                <c:pt idx="22">
                  <c:v>100583261.40000001</c:v>
                </c:pt>
                <c:pt idx="23">
                  <c:v>99669523.980000004</c:v>
                </c:pt>
                <c:pt idx="24">
                  <c:v>98787972.819999993</c:v>
                </c:pt>
                <c:pt idx="25">
                  <c:v>97934238.700000003</c:v>
                </c:pt>
                <c:pt idx="26">
                  <c:v>96375386.560000002</c:v>
                </c:pt>
                <c:pt idx="27">
                  <c:v>95530908.189999998</c:v>
                </c:pt>
                <c:pt idx="28">
                  <c:v>94707232.420000002</c:v>
                </c:pt>
                <c:pt idx="29">
                  <c:v>93903208.5</c:v>
                </c:pt>
                <c:pt idx="30">
                  <c:v>93117895.739999995</c:v>
                </c:pt>
                <c:pt idx="31">
                  <c:v>92350630.390000001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DE-4332-BA88-733D0D29E518}"/>
            </c:ext>
          </c:extLst>
        </c:ser>
        <c:ser>
          <c:idx val="6"/>
          <c:order val="6"/>
          <c:tx>
            <c:strRef>
              <c:f>'Total Energy'!$B$132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Energy'!$C$132:$AH$132</c:f>
              <c:numCache>
                <c:formatCode>General</c:formatCode>
                <c:ptCount val="32"/>
                <c:pt idx="0">
                  <c:v>97427065.099999994</c:v>
                </c:pt>
                <c:pt idx="1">
                  <c:v>97160625.099999994</c:v>
                </c:pt>
                <c:pt idx="2">
                  <c:v>102103355.09999999</c:v>
                </c:pt>
                <c:pt idx="3">
                  <c:v>106383375.09999999</c:v>
                </c:pt>
                <c:pt idx="4">
                  <c:v>110287525.09999999</c:v>
                </c:pt>
                <c:pt idx="5">
                  <c:v>113174571.26000001</c:v>
                </c:pt>
                <c:pt idx="6">
                  <c:v>113073573.59999999</c:v>
                </c:pt>
                <c:pt idx="7">
                  <c:v>113271661.63</c:v>
                </c:pt>
                <c:pt idx="8">
                  <c:v>112572506.2</c:v>
                </c:pt>
                <c:pt idx="9">
                  <c:v>111064819.7</c:v>
                </c:pt>
                <c:pt idx="10">
                  <c:v>109001412.90000001</c:v>
                </c:pt>
                <c:pt idx="11">
                  <c:v>106826135.90000001</c:v>
                </c:pt>
                <c:pt idx="12">
                  <c:v>104624357.90000001</c:v>
                </c:pt>
                <c:pt idx="13">
                  <c:v>102356077.8</c:v>
                </c:pt>
                <c:pt idx="14">
                  <c:v>99855197.900000006</c:v>
                </c:pt>
                <c:pt idx="15">
                  <c:v>96440892.599999994</c:v>
                </c:pt>
                <c:pt idx="16">
                  <c:v>93136122.099999994</c:v>
                </c:pt>
                <c:pt idx="17">
                  <c:v>91112355.099999994</c:v>
                </c:pt>
                <c:pt idx="18">
                  <c:v>88740034.099999994</c:v>
                </c:pt>
                <c:pt idx="19">
                  <c:v>86170678.099999994</c:v>
                </c:pt>
                <c:pt idx="20">
                  <c:v>82390435.099999994</c:v>
                </c:pt>
                <c:pt idx="21">
                  <c:v>78885682.099999994</c:v>
                </c:pt>
                <c:pt idx="22">
                  <c:v>76066508.099999994</c:v>
                </c:pt>
                <c:pt idx="23">
                  <c:v>73435009.099999994</c:v>
                </c:pt>
                <c:pt idx="24">
                  <c:v>71044705.099999994</c:v>
                </c:pt>
                <c:pt idx="25">
                  <c:v>68908438.099999994</c:v>
                </c:pt>
                <c:pt idx="26">
                  <c:v>67010313.100000001</c:v>
                </c:pt>
                <c:pt idx="27">
                  <c:v>65327085.100000001</c:v>
                </c:pt>
                <c:pt idx="28">
                  <c:v>63840737.100000001</c:v>
                </c:pt>
                <c:pt idx="29">
                  <c:v>62522986.100000001</c:v>
                </c:pt>
                <c:pt idx="30">
                  <c:v>61339911.100000001</c:v>
                </c:pt>
                <c:pt idx="31">
                  <c:v>60253433.100000001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DE-4332-BA88-733D0D29E518}"/>
            </c:ext>
          </c:extLst>
        </c:ser>
        <c:ser>
          <c:idx val="7"/>
          <c:order val="7"/>
          <c:tx>
            <c:strRef>
              <c:f>'Total Energy'!$B$125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Energy'!$C$125:$AH$125</c:f>
              <c:numCache>
                <c:formatCode>General</c:formatCode>
                <c:ptCount val="32"/>
                <c:pt idx="0">
                  <c:v>93733824.84300001</c:v>
                </c:pt>
                <c:pt idx="1">
                  <c:v>93716900.111000001</c:v>
                </c:pt>
                <c:pt idx="2">
                  <c:v>93652984.126000002</c:v>
                </c:pt>
                <c:pt idx="3">
                  <c:v>93588969.893000007</c:v>
                </c:pt>
                <c:pt idx="4">
                  <c:v>91931154.245000005</c:v>
                </c:pt>
                <c:pt idx="5">
                  <c:v>90232201.545000002</c:v>
                </c:pt>
                <c:pt idx="6">
                  <c:v>87388820.773999989</c:v>
                </c:pt>
                <c:pt idx="7">
                  <c:v>84563881.287</c:v>
                </c:pt>
                <c:pt idx="8">
                  <c:v>81788171.68599999</c:v>
                </c:pt>
                <c:pt idx="9">
                  <c:v>79048676.66399999</c:v>
                </c:pt>
                <c:pt idx="10">
                  <c:v>76332707.91399999</c:v>
                </c:pt>
                <c:pt idx="11">
                  <c:v>73496924.184</c:v>
                </c:pt>
                <c:pt idx="12">
                  <c:v>69265915.732700005</c:v>
                </c:pt>
                <c:pt idx="13">
                  <c:v>65130816.035400003</c:v>
                </c:pt>
                <c:pt idx="14">
                  <c:v>61111634.485299997</c:v>
                </c:pt>
                <c:pt idx="15">
                  <c:v>57218531.953980006</c:v>
                </c:pt>
                <c:pt idx="16">
                  <c:v>53454856.728220001</c:v>
                </c:pt>
                <c:pt idx="17">
                  <c:v>51043052.794910014</c:v>
                </c:pt>
                <c:pt idx="18">
                  <c:v>48724487.19579</c:v>
                </c:pt>
                <c:pt idx="19">
                  <c:v>46494341.073169999</c:v>
                </c:pt>
                <c:pt idx="20">
                  <c:v>44345971.178599998</c:v>
                </c:pt>
                <c:pt idx="21">
                  <c:v>42269977.748370007</c:v>
                </c:pt>
                <c:pt idx="22">
                  <c:v>40228430.643749997</c:v>
                </c:pt>
                <c:pt idx="23">
                  <c:v>38249698.595569998</c:v>
                </c:pt>
                <c:pt idx="24">
                  <c:v>36328884.94286</c:v>
                </c:pt>
                <c:pt idx="25">
                  <c:v>34461288.146070004</c:v>
                </c:pt>
                <c:pt idx="26">
                  <c:v>32584767.928160001</c:v>
                </c:pt>
                <c:pt idx="27">
                  <c:v>30789167.894639999</c:v>
                </c:pt>
                <c:pt idx="28">
                  <c:v>29035783.852820002</c:v>
                </c:pt>
                <c:pt idx="29">
                  <c:v>27321683.469659999</c:v>
                </c:pt>
                <c:pt idx="30">
                  <c:v>25644790.95871</c:v>
                </c:pt>
                <c:pt idx="31">
                  <c:v>24003635.244660001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DE-4332-BA88-733D0D29E518}"/>
            </c:ext>
          </c:extLst>
        </c:ser>
        <c:ser>
          <c:idx val="8"/>
          <c:order val="8"/>
          <c:tx>
            <c:strRef>
              <c:f>'Total Energy'!$B$123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Energy'!$C$123:$AH$123</c:f>
              <c:numCache>
                <c:formatCode>General</c:formatCode>
                <c:ptCount val="32"/>
                <c:pt idx="0">
                  <c:v>67364420</c:v>
                </c:pt>
                <c:pt idx="1">
                  <c:v>66743197</c:v>
                </c:pt>
                <c:pt idx="2">
                  <c:v>66743024</c:v>
                </c:pt>
                <c:pt idx="3">
                  <c:v>66742851</c:v>
                </c:pt>
                <c:pt idx="4">
                  <c:v>66678080</c:v>
                </c:pt>
                <c:pt idx="5">
                  <c:v>66613309</c:v>
                </c:pt>
                <c:pt idx="6">
                  <c:v>4598704</c:v>
                </c:pt>
                <c:pt idx="7">
                  <c:v>4487887</c:v>
                </c:pt>
                <c:pt idx="8">
                  <c:v>4380332</c:v>
                </c:pt>
                <c:pt idx="9">
                  <c:v>4275897</c:v>
                </c:pt>
                <c:pt idx="10">
                  <c:v>4174449</c:v>
                </c:pt>
                <c:pt idx="11">
                  <c:v>4054853</c:v>
                </c:pt>
                <c:pt idx="12">
                  <c:v>3893491</c:v>
                </c:pt>
                <c:pt idx="13">
                  <c:v>3736477</c:v>
                </c:pt>
                <c:pt idx="14">
                  <c:v>3583632</c:v>
                </c:pt>
                <c:pt idx="15">
                  <c:v>3434791</c:v>
                </c:pt>
                <c:pt idx="16">
                  <c:v>3289794</c:v>
                </c:pt>
                <c:pt idx="17">
                  <c:v>3197825</c:v>
                </c:pt>
                <c:pt idx="18">
                  <c:v>3108127</c:v>
                </c:pt>
                <c:pt idx="19">
                  <c:v>3020615</c:v>
                </c:pt>
                <c:pt idx="20">
                  <c:v>2935205</c:v>
                </c:pt>
                <c:pt idx="21">
                  <c:v>2851821</c:v>
                </c:pt>
                <c:pt idx="22">
                  <c:v>2769811</c:v>
                </c:pt>
                <c:pt idx="23">
                  <c:v>2689747</c:v>
                </c:pt>
                <c:pt idx="24">
                  <c:v>2611561</c:v>
                </c:pt>
                <c:pt idx="25">
                  <c:v>2535185</c:v>
                </c:pt>
                <c:pt idx="26">
                  <c:v>2444954</c:v>
                </c:pt>
                <c:pt idx="27">
                  <c:v>2371707</c:v>
                </c:pt>
                <c:pt idx="28">
                  <c:v>2300131.6</c:v>
                </c:pt>
                <c:pt idx="29">
                  <c:v>2230173.1</c:v>
                </c:pt>
                <c:pt idx="30">
                  <c:v>2161776.7000000002</c:v>
                </c:pt>
                <c:pt idx="31">
                  <c:v>2094891.1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DE-4332-BA88-733D0D29E518}"/>
            </c:ext>
          </c:extLst>
        </c:ser>
        <c:ser>
          <c:idx val="9"/>
          <c:order val="9"/>
          <c:tx>
            <c:strRef>
              <c:f>'Total Energy'!$B$136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Energy'!$C$136:$AH$136</c:f>
              <c:numCache>
                <c:formatCode>General</c:formatCode>
                <c:ptCount val="32"/>
                <c:pt idx="0">
                  <c:v>62627730</c:v>
                </c:pt>
                <c:pt idx="1">
                  <c:v>62679890</c:v>
                </c:pt>
                <c:pt idx="2">
                  <c:v>62679890</c:v>
                </c:pt>
                <c:pt idx="3">
                  <c:v>62679890</c:v>
                </c:pt>
                <c:pt idx="4">
                  <c:v>62679880</c:v>
                </c:pt>
                <c:pt idx="5">
                  <c:v>62679880</c:v>
                </c:pt>
                <c:pt idx="6">
                  <c:v>64278340</c:v>
                </c:pt>
                <c:pt idx="7">
                  <c:v>64278340</c:v>
                </c:pt>
                <c:pt idx="8">
                  <c:v>64278340</c:v>
                </c:pt>
                <c:pt idx="9">
                  <c:v>64278340</c:v>
                </c:pt>
                <c:pt idx="10">
                  <c:v>64278340</c:v>
                </c:pt>
                <c:pt idx="11">
                  <c:v>62937150</c:v>
                </c:pt>
                <c:pt idx="12">
                  <c:v>62937150</c:v>
                </c:pt>
                <c:pt idx="13">
                  <c:v>62937150</c:v>
                </c:pt>
                <c:pt idx="14">
                  <c:v>62937160</c:v>
                </c:pt>
                <c:pt idx="15">
                  <c:v>62937150</c:v>
                </c:pt>
                <c:pt idx="16">
                  <c:v>62937160</c:v>
                </c:pt>
                <c:pt idx="17">
                  <c:v>62937160</c:v>
                </c:pt>
                <c:pt idx="18">
                  <c:v>62937150</c:v>
                </c:pt>
                <c:pt idx="19">
                  <c:v>62937150</c:v>
                </c:pt>
                <c:pt idx="20">
                  <c:v>62937150</c:v>
                </c:pt>
                <c:pt idx="21">
                  <c:v>62937150</c:v>
                </c:pt>
                <c:pt idx="22">
                  <c:v>62937160</c:v>
                </c:pt>
                <c:pt idx="23">
                  <c:v>62937150</c:v>
                </c:pt>
                <c:pt idx="24">
                  <c:v>62937150</c:v>
                </c:pt>
                <c:pt idx="25">
                  <c:v>62937150</c:v>
                </c:pt>
                <c:pt idx="26">
                  <c:v>61941140</c:v>
                </c:pt>
                <c:pt idx="27">
                  <c:v>61941140</c:v>
                </c:pt>
                <c:pt idx="28">
                  <c:v>61941140</c:v>
                </c:pt>
                <c:pt idx="29">
                  <c:v>61941140</c:v>
                </c:pt>
                <c:pt idx="30">
                  <c:v>61941140</c:v>
                </c:pt>
                <c:pt idx="31">
                  <c:v>61941140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DE-4332-BA88-733D0D29E518}"/>
            </c:ext>
          </c:extLst>
        </c:ser>
        <c:ser>
          <c:idx val="10"/>
          <c:order val="10"/>
          <c:tx>
            <c:strRef>
              <c:f>'Total Energy'!$B$122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Energy'!$C$122:$AH$122</c:f>
              <c:numCache>
                <c:formatCode>General</c:formatCode>
                <c:ptCount val="32"/>
                <c:pt idx="0">
                  <c:v>52357190</c:v>
                </c:pt>
                <c:pt idx="1">
                  <c:v>52357190</c:v>
                </c:pt>
                <c:pt idx="2">
                  <c:v>52357190</c:v>
                </c:pt>
                <c:pt idx="3">
                  <c:v>52357190</c:v>
                </c:pt>
                <c:pt idx="4">
                  <c:v>52357190</c:v>
                </c:pt>
                <c:pt idx="5">
                  <c:v>52357190</c:v>
                </c:pt>
                <c:pt idx="6">
                  <c:v>52357184</c:v>
                </c:pt>
                <c:pt idx="7">
                  <c:v>52357184</c:v>
                </c:pt>
                <c:pt idx="8">
                  <c:v>52357181</c:v>
                </c:pt>
                <c:pt idx="9">
                  <c:v>52357183</c:v>
                </c:pt>
                <c:pt idx="10">
                  <c:v>52357182</c:v>
                </c:pt>
                <c:pt idx="11">
                  <c:v>52357187</c:v>
                </c:pt>
                <c:pt idx="12">
                  <c:v>52357178</c:v>
                </c:pt>
                <c:pt idx="13">
                  <c:v>52357186</c:v>
                </c:pt>
                <c:pt idx="14">
                  <c:v>52357180</c:v>
                </c:pt>
                <c:pt idx="15">
                  <c:v>52357190</c:v>
                </c:pt>
                <c:pt idx="16">
                  <c:v>52357186</c:v>
                </c:pt>
                <c:pt idx="17">
                  <c:v>52357188</c:v>
                </c:pt>
                <c:pt idx="18">
                  <c:v>52357187</c:v>
                </c:pt>
                <c:pt idx="19">
                  <c:v>52357183</c:v>
                </c:pt>
                <c:pt idx="20">
                  <c:v>52357184</c:v>
                </c:pt>
                <c:pt idx="21">
                  <c:v>52357182</c:v>
                </c:pt>
                <c:pt idx="22">
                  <c:v>52357186</c:v>
                </c:pt>
                <c:pt idx="23">
                  <c:v>52357187</c:v>
                </c:pt>
                <c:pt idx="24">
                  <c:v>52357184</c:v>
                </c:pt>
                <c:pt idx="25">
                  <c:v>52357188</c:v>
                </c:pt>
                <c:pt idx="26">
                  <c:v>52357187</c:v>
                </c:pt>
                <c:pt idx="27">
                  <c:v>52357184</c:v>
                </c:pt>
                <c:pt idx="28">
                  <c:v>52357187</c:v>
                </c:pt>
                <c:pt idx="29">
                  <c:v>52357186</c:v>
                </c:pt>
                <c:pt idx="30">
                  <c:v>52357182</c:v>
                </c:pt>
                <c:pt idx="31">
                  <c:v>52357184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DE-4332-BA88-733D0D29E518}"/>
            </c:ext>
          </c:extLst>
        </c:ser>
        <c:ser>
          <c:idx val="11"/>
          <c:order val="11"/>
          <c:tx>
            <c:strRef>
              <c:f>'Total Energy'!$B$138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Energy'!$C$138:$AH$138</c:f>
              <c:numCache>
                <c:formatCode>General</c:formatCode>
                <c:ptCount val="32"/>
                <c:pt idx="0">
                  <c:v>43192630</c:v>
                </c:pt>
                <c:pt idx="1">
                  <c:v>42283730</c:v>
                </c:pt>
                <c:pt idx="2">
                  <c:v>42283730</c:v>
                </c:pt>
                <c:pt idx="3">
                  <c:v>42283730</c:v>
                </c:pt>
                <c:pt idx="4">
                  <c:v>42283730</c:v>
                </c:pt>
                <c:pt idx="5">
                  <c:v>42283730</c:v>
                </c:pt>
                <c:pt idx="6">
                  <c:v>43310320</c:v>
                </c:pt>
                <c:pt idx="7">
                  <c:v>43310320</c:v>
                </c:pt>
                <c:pt idx="8">
                  <c:v>43310320</c:v>
                </c:pt>
                <c:pt idx="9">
                  <c:v>43310320</c:v>
                </c:pt>
                <c:pt idx="10">
                  <c:v>43310320</c:v>
                </c:pt>
                <c:pt idx="11">
                  <c:v>45191080</c:v>
                </c:pt>
                <c:pt idx="12">
                  <c:v>45191080</c:v>
                </c:pt>
                <c:pt idx="13">
                  <c:v>45191080</c:v>
                </c:pt>
                <c:pt idx="14">
                  <c:v>45191080</c:v>
                </c:pt>
                <c:pt idx="15">
                  <c:v>45191080</c:v>
                </c:pt>
                <c:pt idx="16">
                  <c:v>45191080</c:v>
                </c:pt>
                <c:pt idx="17">
                  <c:v>45191080</c:v>
                </c:pt>
                <c:pt idx="18">
                  <c:v>45191080</c:v>
                </c:pt>
                <c:pt idx="19">
                  <c:v>45191080</c:v>
                </c:pt>
                <c:pt idx="20">
                  <c:v>45191080</c:v>
                </c:pt>
                <c:pt idx="21">
                  <c:v>45191080</c:v>
                </c:pt>
                <c:pt idx="22">
                  <c:v>45191080</c:v>
                </c:pt>
                <c:pt idx="23">
                  <c:v>45191080</c:v>
                </c:pt>
                <c:pt idx="24">
                  <c:v>45191080</c:v>
                </c:pt>
                <c:pt idx="25">
                  <c:v>45191080</c:v>
                </c:pt>
                <c:pt idx="26">
                  <c:v>45456160</c:v>
                </c:pt>
                <c:pt idx="27">
                  <c:v>45456160</c:v>
                </c:pt>
                <c:pt idx="28">
                  <c:v>45456160</c:v>
                </c:pt>
                <c:pt idx="29">
                  <c:v>45456160</c:v>
                </c:pt>
                <c:pt idx="30">
                  <c:v>45456160</c:v>
                </c:pt>
                <c:pt idx="31">
                  <c:v>45456160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DE-4332-BA88-733D0D29E518}"/>
            </c:ext>
          </c:extLst>
        </c:ser>
        <c:ser>
          <c:idx val="12"/>
          <c:order val="12"/>
          <c:tx>
            <c:strRef>
              <c:f>'Total Energy'!$B$127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Energy'!$C$127:$AH$127</c:f>
              <c:numCache>
                <c:formatCode>General</c:formatCode>
                <c:ptCount val="32"/>
                <c:pt idx="0">
                  <c:v>18826570</c:v>
                </c:pt>
                <c:pt idx="1">
                  <c:v>18861950</c:v>
                </c:pt>
                <c:pt idx="2">
                  <c:v>19440780</c:v>
                </c:pt>
                <c:pt idx="3">
                  <c:v>20760890</c:v>
                </c:pt>
                <c:pt idx="4">
                  <c:v>22477050</c:v>
                </c:pt>
                <c:pt idx="5">
                  <c:v>24706490</c:v>
                </c:pt>
                <c:pt idx="6">
                  <c:v>27104650</c:v>
                </c:pt>
                <c:pt idx="7">
                  <c:v>29568110</c:v>
                </c:pt>
                <c:pt idx="8">
                  <c:v>32138630</c:v>
                </c:pt>
                <c:pt idx="9">
                  <c:v>35031370</c:v>
                </c:pt>
                <c:pt idx="10">
                  <c:v>38446300</c:v>
                </c:pt>
                <c:pt idx="11">
                  <c:v>42156050</c:v>
                </c:pt>
                <c:pt idx="12">
                  <c:v>46126190</c:v>
                </c:pt>
                <c:pt idx="13">
                  <c:v>49822090</c:v>
                </c:pt>
                <c:pt idx="14">
                  <c:v>52777740</c:v>
                </c:pt>
                <c:pt idx="15">
                  <c:v>54725510</c:v>
                </c:pt>
                <c:pt idx="16">
                  <c:v>55526410</c:v>
                </c:pt>
                <c:pt idx="17">
                  <c:v>55151600</c:v>
                </c:pt>
                <c:pt idx="18">
                  <c:v>53759240</c:v>
                </c:pt>
                <c:pt idx="19">
                  <c:v>51509430</c:v>
                </c:pt>
                <c:pt idx="20">
                  <c:v>48787490</c:v>
                </c:pt>
                <c:pt idx="21">
                  <c:v>45650180</c:v>
                </c:pt>
                <c:pt idx="22">
                  <c:v>45112450</c:v>
                </c:pt>
                <c:pt idx="23">
                  <c:v>44968150</c:v>
                </c:pt>
                <c:pt idx="24">
                  <c:v>44694540</c:v>
                </c:pt>
                <c:pt idx="25">
                  <c:v>44324390</c:v>
                </c:pt>
                <c:pt idx="26">
                  <c:v>43877300</c:v>
                </c:pt>
                <c:pt idx="27">
                  <c:v>43356840</c:v>
                </c:pt>
                <c:pt idx="28">
                  <c:v>42820960</c:v>
                </c:pt>
                <c:pt idx="29">
                  <c:v>42277990</c:v>
                </c:pt>
                <c:pt idx="30">
                  <c:v>41803480</c:v>
                </c:pt>
                <c:pt idx="31">
                  <c:v>41350910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DE-4332-BA88-733D0D29E518}"/>
            </c:ext>
          </c:extLst>
        </c:ser>
        <c:ser>
          <c:idx val="13"/>
          <c:order val="13"/>
          <c:tx>
            <c:strRef>
              <c:f>'Total Energy'!$B$133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Energy'!$C$133:$AH$133</c:f>
              <c:numCache>
                <c:formatCode>General</c:formatCode>
                <c:ptCount val="32"/>
                <c:pt idx="0">
                  <c:v>11547872.9618</c:v>
                </c:pt>
                <c:pt idx="1">
                  <c:v>11537872.561799999</c:v>
                </c:pt>
                <c:pt idx="2">
                  <c:v>11506891.141799999</c:v>
                </c:pt>
                <c:pt idx="3">
                  <c:v>11461867.5228</c:v>
                </c:pt>
                <c:pt idx="4">
                  <c:v>11311755.841800001</c:v>
                </c:pt>
                <c:pt idx="5">
                  <c:v>11039878.160800001</c:v>
                </c:pt>
                <c:pt idx="6">
                  <c:v>10727333.6678</c:v>
                </c:pt>
                <c:pt idx="7">
                  <c:v>10343393.299799999</c:v>
                </c:pt>
                <c:pt idx="8">
                  <c:v>9936102.9668000005</c:v>
                </c:pt>
                <c:pt idx="9">
                  <c:v>9497691.5888</c:v>
                </c:pt>
                <c:pt idx="10">
                  <c:v>8991569.1948000006</c:v>
                </c:pt>
                <c:pt idx="11">
                  <c:v>8477451.7268000003</c:v>
                </c:pt>
                <c:pt idx="12">
                  <c:v>7852184.7428000001</c:v>
                </c:pt>
                <c:pt idx="13">
                  <c:v>7234905.2977999998</c:v>
                </c:pt>
                <c:pt idx="14">
                  <c:v>6641028.0618000003</c:v>
                </c:pt>
                <c:pt idx="15">
                  <c:v>6074600.2177999998</c:v>
                </c:pt>
                <c:pt idx="16">
                  <c:v>5581381.6628</c:v>
                </c:pt>
                <c:pt idx="17">
                  <c:v>5183030.0877999999</c:v>
                </c:pt>
                <c:pt idx="18">
                  <c:v>4823570.6298000002</c:v>
                </c:pt>
                <c:pt idx="19">
                  <c:v>4498204.8147999998</c:v>
                </c:pt>
                <c:pt idx="20">
                  <c:v>4197896.0917999996</c:v>
                </c:pt>
                <c:pt idx="21">
                  <c:v>3923899.3478000001</c:v>
                </c:pt>
                <c:pt idx="22">
                  <c:v>3762666.9248000002</c:v>
                </c:pt>
                <c:pt idx="23">
                  <c:v>3624943.5277999998</c:v>
                </c:pt>
                <c:pt idx="24">
                  <c:v>3508441.2878</c:v>
                </c:pt>
                <c:pt idx="25">
                  <c:v>3407277.1688000001</c:v>
                </c:pt>
                <c:pt idx="26">
                  <c:v>3318521.8258000002</c:v>
                </c:pt>
                <c:pt idx="27">
                  <c:v>3232568.8577999999</c:v>
                </c:pt>
                <c:pt idx="28">
                  <c:v>3150511.5787999998</c:v>
                </c:pt>
                <c:pt idx="29">
                  <c:v>3071289.9177999999</c:v>
                </c:pt>
                <c:pt idx="30">
                  <c:v>2992538.1468000002</c:v>
                </c:pt>
                <c:pt idx="31">
                  <c:v>2919442.9715999998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BDE-4332-BA88-733D0D29E518}"/>
            </c:ext>
          </c:extLst>
        </c:ser>
        <c:ser>
          <c:idx val="14"/>
          <c:order val="14"/>
          <c:tx>
            <c:strRef>
              <c:f>'Total Energy'!$B$134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Energy'!$C$134:$AH$134</c:f>
              <c:numCache>
                <c:formatCode>General</c:formatCode>
                <c:ptCount val="32"/>
                <c:pt idx="0">
                  <c:v>2016918.442</c:v>
                </c:pt>
                <c:pt idx="1">
                  <c:v>2017239.172</c:v>
                </c:pt>
                <c:pt idx="2">
                  <c:v>2094246.362</c:v>
                </c:pt>
                <c:pt idx="3">
                  <c:v>2290151.1719999998</c:v>
                </c:pt>
                <c:pt idx="4">
                  <c:v>4303045.2557999995</c:v>
                </c:pt>
                <c:pt idx="5">
                  <c:v>7088071.5290999999</c:v>
                </c:pt>
                <c:pt idx="6">
                  <c:v>9890254.615699999</c:v>
                </c:pt>
                <c:pt idx="7">
                  <c:v>15740815.325999999</c:v>
                </c:pt>
                <c:pt idx="8">
                  <c:v>21607826.322000001</c:v>
                </c:pt>
                <c:pt idx="9">
                  <c:v>27495131.289000001</c:v>
                </c:pt>
                <c:pt idx="10">
                  <c:v>33423235.546</c:v>
                </c:pt>
                <c:pt idx="11">
                  <c:v>39261531.034999996</c:v>
                </c:pt>
                <c:pt idx="12">
                  <c:v>47269487.597000003</c:v>
                </c:pt>
                <c:pt idx="13">
                  <c:v>55362718.855999999</c:v>
                </c:pt>
                <c:pt idx="14">
                  <c:v>63554103.380000003</c:v>
                </c:pt>
                <c:pt idx="15">
                  <c:v>71874550.049999997</c:v>
                </c:pt>
                <c:pt idx="16">
                  <c:v>80242879.969999999</c:v>
                </c:pt>
                <c:pt idx="17">
                  <c:v>83374043.859999999</c:v>
                </c:pt>
                <c:pt idx="18">
                  <c:v>86547445.849999994</c:v>
                </c:pt>
                <c:pt idx="19">
                  <c:v>89766200.890000001</c:v>
                </c:pt>
                <c:pt idx="20">
                  <c:v>93066973.159999996</c:v>
                </c:pt>
                <c:pt idx="21">
                  <c:v>96347651.459999993</c:v>
                </c:pt>
                <c:pt idx="22">
                  <c:v>96587768.75</c:v>
                </c:pt>
                <c:pt idx="23">
                  <c:v>96810406.540000007</c:v>
                </c:pt>
                <c:pt idx="24">
                  <c:v>97021495.939999998</c:v>
                </c:pt>
                <c:pt idx="25">
                  <c:v>97241624.210000008</c:v>
                </c:pt>
                <c:pt idx="26">
                  <c:v>97184023.480000004</c:v>
                </c:pt>
                <c:pt idx="27">
                  <c:v>97322363.489999995</c:v>
                </c:pt>
                <c:pt idx="28">
                  <c:v>97456486.939999998</c:v>
                </c:pt>
                <c:pt idx="29">
                  <c:v>97318299.340000004</c:v>
                </c:pt>
                <c:pt idx="30">
                  <c:v>96196643.340000004</c:v>
                </c:pt>
                <c:pt idx="31">
                  <c:v>95779898.239999995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BDE-4332-BA88-733D0D29E518}"/>
            </c:ext>
          </c:extLst>
        </c:ser>
        <c:ser>
          <c:idx val="15"/>
          <c:order val="15"/>
          <c:tx>
            <c:strRef>
              <c:f>'Total Energy'!$B$130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Energy'!$C$130:$AH$130</c:f>
              <c:numCache>
                <c:formatCode>General</c:formatCode>
                <c:ptCount val="32"/>
                <c:pt idx="0">
                  <c:v>610090.47</c:v>
                </c:pt>
                <c:pt idx="1">
                  <c:v>610090.47199999995</c:v>
                </c:pt>
                <c:pt idx="2">
                  <c:v>610090.44700000004</c:v>
                </c:pt>
                <c:pt idx="3">
                  <c:v>610090.45799999998</c:v>
                </c:pt>
                <c:pt idx="4">
                  <c:v>610090.45400000003</c:v>
                </c:pt>
                <c:pt idx="5">
                  <c:v>610090.40500000003</c:v>
                </c:pt>
                <c:pt idx="6">
                  <c:v>610090.40700000001</c:v>
                </c:pt>
                <c:pt idx="7">
                  <c:v>610090.48800000001</c:v>
                </c:pt>
                <c:pt idx="8">
                  <c:v>610090.44799999997</c:v>
                </c:pt>
                <c:pt idx="9">
                  <c:v>610090.50300000003</c:v>
                </c:pt>
                <c:pt idx="10">
                  <c:v>610090.45500000007</c:v>
                </c:pt>
                <c:pt idx="11">
                  <c:v>610090.45199999993</c:v>
                </c:pt>
                <c:pt idx="12">
                  <c:v>610090.48300000001</c:v>
                </c:pt>
                <c:pt idx="13">
                  <c:v>610090.50800000003</c:v>
                </c:pt>
                <c:pt idx="14">
                  <c:v>610090.505</c:v>
                </c:pt>
                <c:pt idx="15">
                  <c:v>610090.44499999995</c:v>
                </c:pt>
                <c:pt idx="16">
                  <c:v>610090.47600000002</c:v>
                </c:pt>
                <c:pt idx="17">
                  <c:v>610090.48600000003</c:v>
                </c:pt>
                <c:pt idx="18">
                  <c:v>610090.44400000002</c:v>
                </c:pt>
                <c:pt idx="19">
                  <c:v>610090.49300000002</c:v>
                </c:pt>
                <c:pt idx="20">
                  <c:v>610090.47100000002</c:v>
                </c:pt>
                <c:pt idx="21">
                  <c:v>610090.429</c:v>
                </c:pt>
                <c:pt idx="22">
                  <c:v>610090.40899999999</c:v>
                </c:pt>
                <c:pt idx="23">
                  <c:v>610090.43599999999</c:v>
                </c:pt>
                <c:pt idx="24">
                  <c:v>610090.43900000001</c:v>
                </c:pt>
                <c:pt idx="25">
                  <c:v>610090.49099999992</c:v>
                </c:pt>
                <c:pt idx="26">
                  <c:v>610090.40899999999</c:v>
                </c:pt>
                <c:pt idx="27">
                  <c:v>610090.46299999999</c:v>
                </c:pt>
                <c:pt idx="28">
                  <c:v>610090.45799999998</c:v>
                </c:pt>
                <c:pt idx="29">
                  <c:v>610090.41399999999</c:v>
                </c:pt>
                <c:pt idx="30">
                  <c:v>610090.45400000003</c:v>
                </c:pt>
                <c:pt idx="31">
                  <c:v>610090.478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BDE-4332-BA88-733D0D29E518}"/>
            </c:ext>
          </c:extLst>
        </c:ser>
        <c:ser>
          <c:idx val="16"/>
          <c:order val="16"/>
          <c:tx>
            <c:strRef>
              <c:f>'Total Energy'!$B$135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Energy'!$C$135:$AH$135</c:f>
              <c:numCache>
                <c:formatCode>General</c:formatCode>
                <c:ptCount val="32"/>
                <c:pt idx="0">
                  <c:v>441453.027</c:v>
                </c:pt>
                <c:pt idx="1">
                  <c:v>875420.12699999998</c:v>
                </c:pt>
                <c:pt idx="2">
                  <c:v>875420.12699999998</c:v>
                </c:pt>
                <c:pt idx="3">
                  <c:v>875420.12699999998</c:v>
                </c:pt>
                <c:pt idx="4">
                  <c:v>875420.027</c:v>
                </c:pt>
                <c:pt idx="5">
                  <c:v>875420.12699999998</c:v>
                </c:pt>
                <c:pt idx="6">
                  <c:v>890851.38800000004</c:v>
                </c:pt>
                <c:pt idx="7">
                  <c:v>890851.16899999999</c:v>
                </c:pt>
                <c:pt idx="8">
                  <c:v>890850.95200000005</c:v>
                </c:pt>
                <c:pt idx="9">
                  <c:v>890850.73700000008</c:v>
                </c:pt>
                <c:pt idx="10">
                  <c:v>890850.52500000002</c:v>
                </c:pt>
                <c:pt idx="11">
                  <c:v>877900.11399999994</c:v>
                </c:pt>
                <c:pt idx="12">
                  <c:v>877903.66399999999</c:v>
                </c:pt>
                <c:pt idx="13">
                  <c:v>877907.2159999999</c:v>
                </c:pt>
                <c:pt idx="14">
                  <c:v>877910.7699999999</c:v>
                </c:pt>
                <c:pt idx="15">
                  <c:v>877914.326</c:v>
                </c:pt>
                <c:pt idx="16">
                  <c:v>877917.88399999996</c:v>
                </c:pt>
                <c:pt idx="17">
                  <c:v>877925.43699999992</c:v>
                </c:pt>
                <c:pt idx="18">
                  <c:v>877932.99199999997</c:v>
                </c:pt>
                <c:pt idx="19">
                  <c:v>877940.54999999993</c:v>
                </c:pt>
                <c:pt idx="20">
                  <c:v>877948.10899999994</c:v>
                </c:pt>
                <c:pt idx="21">
                  <c:v>877955.67099999997</c:v>
                </c:pt>
                <c:pt idx="22">
                  <c:v>877958.41999999993</c:v>
                </c:pt>
                <c:pt idx="23">
                  <c:v>877961.17099999997</c:v>
                </c:pt>
                <c:pt idx="24">
                  <c:v>877963.924</c:v>
                </c:pt>
                <c:pt idx="25">
                  <c:v>877966.679</c:v>
                </c:pt>
                <c:pt idx="26">
                  <c:v>868352.13600000006</c:v>
                </c:pt>
                <c:pt idx="27">
                  <c:v>868351.37300000002</c:v>
                </c:pt>
                <c:pt idx="28">
                  <c:v>868350.61100000003</c:v>
                </c:pt>
                <c:pt idx="29">
                  <c:v>868349.85200000007</c:v>
                </c:pt>
                <c:pt idx="30">
                  <c:v>868349.09400000004</c:v>
                </c:pt>
                <c:pt idx="31">
                  <c:v>868348.33900000004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BDE-4332-BA88-733D0D29E518}"/>
            </c:ext>
          </c:extLst>
        </c:ser>
        <c:ser>
          <c:idx val="17"/>
          <c:order val="17"/>
          <c:tx>
            <c:strRef>
              <c:f>'Total Energy'!$B$129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Energy'!$C$129:$AH$129</c:f>
              <c:numCache>
                <c:formatCode>General</c:formatCode>
                <c:ptCount val="32"/>
                <c:pt idx="0">
                  <c:v>0</c:v>
                </c:pt>
                <c:pt idx="1">
                  <c:v>704949.7</c:v>
                </c:pt>
                <c:pt idx="2">
                  <c:v>4497243.3745999997</c:v>
                </c:pt>
                <c:pt idx="3">
                  <c:v>8168105.7489999998</c:v>
                </c:pt>
                <c:pt idx="4">
                  <c:v>15517013.072149999</c:v>
                </c:pt>
                <c:pt idx="5">
                  <c:v>25900619.238499999</c:v>
                </c:pt>
                <c:pt idx="6">
                  <c:v>35830239.487199999</c:v>
                </c:pt>
                <c:pt idx="7">
                  <c:v>45208319.788099997</c:v>
                </c:pt>
                <c:pt idx="8">
                  <c:v>54112792.922000013</c:v>
                </c:pt>
                <c:pt idx="9">
                  <c:v>62578963.705000013</c:v>
                </c:pt>
                <c:pt idx="10">
                  <c:v>70431850.590999991</c:v>
                </c:pt>
                <c:pt idx="11">
                  <c:v>77918716.708999991</c:v>
                </c:pt>
                <c:pt idx="12">
                  <c:v>88322450.938000008</c:v>
                </c:pt>
                <c:pt idx="13">
                  <c:v>98208503.415999994</c:v>
                </c:pt>
                <c:pt idx="14">
                  <c:v>107640946.30400001</c:v>
                </c:pt>
                <c:pt idx="15">
                  <c:v>116599766.71600001</c:v>
                </c:pt>
                <c:pt idx="16">
                  <c:v>125529089.389</c:v>
                </c:pt>
                <c:pt idx="17">
                  <c:v>127568100.23899999</c:v>
                </c:pt>
                <c:pt idx="18">
                  <c:v>129691754.579</c:v>
                </c:pt>
                <c:pt idx="19">
                  <c:v>131882782.31900001</c:v>
                </c:pt>
                <c:pt idx="20">
                  <c:v>134063511.369</c:v>
                </c:pt>
                <c:pt idx="21">
                  <c:v>136421818.71900001</c:v>
                </c:pt>
                <c:pt idx="22">
                  <c:v>138986898.109</c:v>
                </c:pt>
                <c:pt idx="23">
                  <c:v>141552911.17899999</c:v>
                </c:pt>
                <c:pt idx="24">
                  <c:v>144104489.04899999</c:v>
                </c:pt>
                <c:pt idx="25">
                  <c:v>146610076.65900001</c:v>
                </c:pt>
                <c:pt idx="26">
                  <c:v>149197628.889</c:v>
                </c:pt>
                <c:pt idx="27">
                  <c:v>151677318.919</c:v>
                </c:pt>
                <c:pt idx="28">
                  <c:v>154112757.14899999</c:v>
                </c:pt>
                <c:pt idx="29">
                  <c:v>156501105.64899999</c:v>
                </c:pt>
                <c:pt idx="30">
                  <c:v>158784225.199</c:v>
                </c:pt>
                <c:pt idx="31">
                  <c:v>161136799.09900001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BDE-4332-BA88-733D0D29E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10001"/>
        <c:axId val="50510002"/>
      </c:areaChart>
      <c:catAx>
        <c:axId val="505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10002"/>
        <c:crosses val="autoZero"/>
        <c:auto val="1"/>
        <c:lblAlgn val="ctr"/>
        <c:lblOffset val="100"/>
        <c:tickLblSkip val="2"/>
        <c:noMultiLvlLbl val="0"/>
      </c:catAx>
      <c:valAx>
        <c:axId val="505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1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Energy'!$B$131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Energy'!$C$131,'Total Energy'!$AH$131)</c:f>
              <c:numCache>
                <c:formatCode>General</c:formatCode>
                <c:ptCount val="2"/>
                <c:pt idx="0">
                  <c:v>368529502.75</c:v>
                </c:pt>
                <c:pt idx="1">
                  <c:v>144032.7126786334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E-482C-A959-8372B164D469}"/>
            </c:ext>
          </c:extLst>
        </c:ser>
        <c:ser>
          <c:idx val="1"/>
          <c:order val="1"/>
          <c:tx>
            <c:strRef>
              <c:f>'Total Energy'!$B$137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Energy'!$C$137,'Total Energy'!$AH$137)</c:f>
              <c:numCache>
                <c:formatCode>General</c:formatCode>
                <c:ptCount val="2"/>
                <c:pt idx="0">
                  <c:v>363857100</c:v>
                </c:pt>
                <c:pt idx="1">
                  <c:v>353505700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E-482C-A959-8372B164D469}"/>
            </c:ext>
          </c:extLst>
        </c:ser>
        <c:ser>
          <c:idx val="2"/>
          <c:order val="2"/>
          <c:tx>
            <c:strRef>
              <c:f>'Total Energy'!$B$126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Energy'!$C$126,'Total Energy'!$AH$126)</c:f>
              <c:numCache>
                <c:formatCode>General</c:formatCode>
                <c:ptCount val="2"/>
                <c:pt idx="0">
                  <c:v>344926100</c:v>
                </c:pt>
                <c:pt idx="1">
                  <c:v>571681.4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E-482C-A959-8372B164D469}"/>
            </c:ext>
          </c:extLst>
        </c:ser>
        <c:ser>
          <c:idx val="3"/>
          <c:order val="3"/>
          <c:tx>
            <c:strRef>
              <c:f>'Total Energy'!$B$128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Energy'!$C$128,'Total Energy'!$AH$128)</c:f>
              <c:numCache>
                <c:formatCode>General</c:formatCode>
                <c:ptCount val="2"/>
                <c:pt idx="0">
                  <c:v>321326760.80000001</c:v>
                </c:pt>
                <c:pt idx="1">
                  <c:v>393345630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1E-482C-A959-8372B164D469}"/>
            </c:ext>
          </c:extLst>
        </c:ser>
        <c:ser>
          <c:idx val="4"/>
          <c:order val="4"/>
          <c:tx>
            <c:strRef>
              <c:f>'Total Energy'!$B$124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Energy'!$C$124,'Total Energy'!$AH$124)</c:f>
              <c:numCache>
                <c:formatCode>General</c:formatCode>
                <c:ptCount val="2"/>
                <c:pt idx="0">
                  <c:v>216163500</c:v>
                </c:pt>
                <c:pt idx="1">
                  <c:v>33317610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1E-482C-A959-8372B164D469}"/>
            </c:ext>
          </c:extLst>
        </c:ser>
        <c:ser>
          <c:idx val="5"/>
          <c:order val="5"/>
          <c:tx>
            <c:strRef>
              <c:f>'Total Energy'!$B$139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Energy'!$C$139,'Total Energy'!$AH$139)</c:f>
              <c:numCache>
                <c:formatCode>General</c:formatCode>
                <c:ptCount val="2"/>
                <c:pt idx="0">
                  <c:v>125996294</c:v>
                </c:pt>
                <c:pt idx="1">
                  <c:v>92350630.390000001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1E-482C-A959-8372B164D469}"/>
            </c:ext>
          </c:extLst>
        </c:ser>
        <c:ser>
          <c:idx val="6"/>
          <c:order val="6"/>
          <c:tx>
            <c:strRef>
              <c:f>'Total Energy'!$B$132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Energy'!$C$132,'Total Energy'!$AH$132)</c:f>
              <c:numCache>
                <c:formatCode>General</c:formatCode>
                <c:ptCount val="2"/>
                <c:pt idx="0">
                  <c:v>97427065.099999994</c:v>
                </c:pt>
                <c:pt idx="1">
                  <c:v>60253433.100000001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1E-482C-A959-8372B164D469}"/>
            </c:ext>
          </c:extLst>
        </c:ser>
        <c:ser>
          <c:idx val="7"/>
          <c:order val="7"/>
          <c:tx>
            <c:strRef>
              <c:f>'Total Energy'!$B$125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Energy'!$C$125,'Total Energy'!$AH$125)</c:f>
              <c:numCache>
                <c:formatCode>General</c:formatCode>
                <c:ptCount val="2"/>
                <c:pt idx="0">
                  <c:v>93733824.84300001</c:v>
                </c:pt>
                <c:pt idx="1">
                  <c:v>24003635.244660001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E-482C-A959-8372B164D469}"/>
            </c:ext>
          </c:extLst>
        </c:ser>
        <c:ser>
          <c:idx val="8"/>
          <c:order val="8"/>
          <c:tx>
            <c:strRef>
              <c:f>'Total Energy'!$B$123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Energy'!$C$123,'Total Energy'!$AH$123)</c:f>
              <c:numCache>
                <c:formatCode>General</c:formatCode>
                <c:ptCount val="2"/>
                <c:pt idx="0">
                  <c:v>67364420</c:v>
                </c:pt>
                <c:pt idx="1">
                  <c:v>2094891.1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1E-482C-A959-8372B164D469}"/>
            </c:ext>
          </c:extLst>
        </c:ser>
        <c:ser>
          <c:idx val="9"/>
          <c:order val="9"/>
          <c:tx>
            <c:strRef>
              <c:f>'Total Energy'!$B$136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Energy'!$C$136,'Total Energy'!$AH$136)</c:f>
              <c:numCache>
                <c:formatCode>General</c:formatCode>
                <c:ptCount val="2"/>
                <c:pt idx="0">
                  <c:v>62627730</c:v>
                </c:pt>
                <c:pt idx="1">
                  <c:v>61941140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1E-482C-A959-8372B164D469}"/>
            </c:ext>
          </c:extLst>
        </c:ser>
        <c:ser>
          <c:idx val="10"/>
          <c:order val="10"/>
          <c:tx>
            <c:strRef>
              <c:f>'Total Energy'!$B$122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Energy'!$C$122,'Total Energy'!$AH$122)</c:f>
              <c:numCache>
                <c:formatCode>General</c:formatCode>
                <c:ptCount val="2"/>
                <c:pt idx="0">
                  <c:v>52357190</c:v>
                </c:pt>
                <c:pt idx="1">
                  <c:v>52357184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1E-482C-A959-8372B164D469}"/>
            </c:ext>
          </c:extLst>
        </c:ser>
        <c:ser>
          <c:idx val="11"/>
          <c:order val="11"/>
          <c:tx>
            <c:strRef>
              <c:f>'Total Energy'!$B$138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Energy'!$C$138,'Total Energy'!$AH$138)</c:f>
              <c:numCache>
                <c:formatCode>General</c:formatCode>
                <c:ptCount val="2"/>
                <c:pt idx="0">
                  <c:v>43192630</c:v>
                </c:pt>
                <c:pt idx="1">
                  <c:v>45456160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1E-482C-A959-8372B164D469}"/>
            </c:ext>
          </c:extLst>
        </c:ser>
        <c:ser>
          <c:idx val="12"/>
          <c:order val="12"/>
          <c:tx>
            <c:strRef>
              <c:f>'Total Energy'!$B$127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Energy'!$C$127,'Total Energy'!$AH$127)</c:f>
              <c:numCache>
                <c:formatCode>General</c:formatCode>
                <c:ptCount val="2"/>
                <c:pt idx="0">
                  <c:v>18826570</c:v>
                </c:pt>
                <c:pt idx="1">
                  <c:v>41350910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1E-482C-A959-8372B164D469}"/>
            </c:ext>
          </c:extLst>
        </c:ser>
        <c:ser>
          <c:idx val="13"/>
          <c:order val="13"/>
          <c:tx>
            <c:strRef>
              <c:f>'Total Energy'!$B$133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Energy'!$C$133,'Total Energy'!$AH$133)</c:f>
              <c:numCache>
                <c:formatCode>General</c:formatCode>
                <c:ptCount val="2"/>
                <c:pt idx="0">
                  <c:v>11547872.9618</c:v>
                </c:pt>
                <c:pt idx="1">
                  <c:v>2919442.9715999998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1E-482C-A959-8372B164D469}"/>
            </c:ext>
          </c:extLst>
        </c:ser>
        <c:ser>
          <c:idx val="14"/>
          <c:order val="14"/>
          <c:tx>
            <c:strRef>
              <c:f>'Total Energy'!$B$134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Energy'!$C$134,'Total Energy'!$AH$134)</c:f>
              <c:numCache>
                <c:formatCode>General</c:formatCode>
                <c:ptCount val="2"/>
                <c:pt idx="0">
                  <c:v>2016918.442</c:v>
                </c:pt>
                <c:pt idx="1">
                  <c:v>95779898.239999995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71E-482C-A959-8372B164D469}"/>
            </c:ext>
          </c:extLst>
        </c:ser>
        <c:ser>
          <c:idx val="15"/>
          <c:order val="15"/>
          <c:tx>
            <c:strRef>
              <c:f>'Total Energy'!$B$130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Energy'!$C$130,'Total Energy'!$AH$130)</c:f>
              <c:numCache>
                <c:formatCode>General</c:formatCode>
                <c:ptCount val="2"/>
                <c:pt idx="0">
                  <c:v>610090.47</c:v>
                </c:pt>
                <c:pt idx="1">
                  <c:v>610090.478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71E-482C-A959-8372B164D469}"/>
            </c:ext>
          </c:extLst>
        </c:ser>
        <c:ser>
          <c:idx val="16"/>
          <c:order val="16"/>
          <c:tx>
            <c:strRef>
              <c:f>'Total Energy'!$B$135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Energy'!$C$135,'Total Energy'!$AH$135)</c:f>
              <c:numCache>
                <c:formatCode>General</c:formatCode>
                <c:ptCount val="2"/>
                <c:pt idx="0">
                  <c:v>441453.027</c:v>
                </c:pt>
                <c:pt idx="1">
                  <c:v>868348.33900000004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71E-482C-A959-8372B164D469}"/>
            </c:ext>
          </c:extLst>
        </c:ser>
        <c:ser>
          <c:idx val="17"/>
          <c:order val="17"/>
          <c:tx>
            <c:strRef>
              <c:f>'Total Energy'!$B$129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Energy'!$C$129,'Total Energy'!$AH$129)</c:f>
              <c:numCache>
                <c:formatCode>General</c:formatCode>
                <c:ptCount val="2"/>
                <c:pt idx="0">
                  <c:v>0</c:v>
                </c:pt>
                <c:pt idx="1">
                  <c:v>161136799.09900001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71E-482C-A959-8372B164D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20001"/>
        <c:axId val="50520002"/>
      </c:barChart>
      <c:catAx>
        <c:axId val="505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20002"/>
        <c:crosses val="autoZero"/>
        <c:auto val="1"/>
        <c:lblAlgn val="ctr"/>
        <c:lblOffset val="100"/>
        <c:noMultiLvlLbl val="0"/>
      </c:catAx>
      <c:valAx>
        <c:axId val="505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Energy'!$B$150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Energy'!$C$150:$AH$150</c:f>
              <c:numCache>
                <c:formatCode>General</c:formatCode>
                <c:ptCount val="32"/>
                <c:pt idx="0">
                  <c:v>368529502.75</c:v>
                </c:pt>
                <c:pt idx="1">
                  <c:v>368041453.55000001</c:v>
                </c:pt>
                <c:pt idx="2">
                  <c:v>368879098.94999999</c:v>
                </c:pt>
                <c:pt idx="3">
                  <c:v>369291322.94999999</c:v>
                </c:pt>
                <c:pt idx="4">
                  <c:v>364503595.58999997</c:v>
                </c:pt>
                <c:pt idx="5">
                  <c:v>352149707.43000001</c:v>
                </c:pt>
                <c:pt idx="6">
                  <c:v>343153705.01999998</c:v>
                </c:pt>
                <c:pt idx="7">
                  <c:v>326184060.89999998</c:v>
                </c:pt>
                <c:pt idx="8">
                  <c:v>309071407.88</c:v>
                </c:pt>
                <c:pt idx="9">
                  <c:v>291691301.02999997</c:v>
                </c:pt>
                <c:pt idx="10">
                  <c:v>270409904.49000001</c:v>
                </c:pt>
                <c:pt idx="11">
                  <c:v>183152844.16</c:v>
                </c:pt>
                <c:pt idx="12">
                  <c:v>158621756.97</c:v>
                </c:pt>
                <c:pt idx="13">
                  <c:v>134684340.90000001</c:v>
                </c:pt>
                <c:pt idx="14">
                  <c:v>111664810.37</c:v>
                </c:pt>
                <c:pt idx="15">
                  <c:v>89296007.980000004</c:v>
                </c:pt>
                <c:pt idx="16">
                  <c:v>69953796.566</c:v>
                </c:pt>
                <c:pt idx="17">
                  <c:v>58200498.645999998</c:v>
                </c:pt>
                <c:pt idx="18">
                  <c:v>47309228.229999997</c:v>
                </c:pt>
                <c:pt idx="19">
                  <c:v>37237867.443000004</c:v>
                </c:pt>
                <c:pt idx="20">
                  <c:v>27641637.344999999</c:v>
                </c:pt>
                <c:pt idx="21">
                  <c:v>19291075.9421</c:v>
                </c:pt>
                <c:pt idx="22">
                  <c:v>18084076.158405479</c:v>
                </c:pt>
                <c:pt idx="23">
                  <c:v>17329240.081431489</c:v>
                </c:pt>
                <c:pt idx="24">
                  <c:v>16563659.0116325</c:v>
                </c:pt>
                <c:pt idx="25">
                  <c:v>15786711.944719531</c:v>
                </c:pt>
                <c:pt idx="26">
                  <c:v>4263389.8882788131</c:v>
                </c:pt>
                <c:pt idx="27">
                  <c:v>3464044.8340911609</c:v>
                </c:pt>
                <c:pt idx="28">
                  <c:v>2652268.782127047</c:v>
                </c:pt>
                <c:pt idx="29">
                  <c:v>1828203.7318307851</c:v>
                </c:pt>
                <c:pt idx="30">
                  <c:v>992047.87800935609</c:v>
                </c:pt>
                <c:pt idx="31">
                  <c:v>144032.435248408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1-49AF-B4E5-F67867F02CC4}"/>
            </c:ext>
          </c:extLst>
        </c:ser>
        <c:ser>
          <c:idx val="1"/>
          <c:order val="1"/>
          <c:tx>
            <c:strRef>
              <c:f>'Total Energy'!$B$156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Energy'!$C$156:$AH$156</c:f>
              <c:numCache>
                <c:formatCode>General</c:formatCode>
                <c:ptCount val="32"/>
                <c:pt idx="0">
                  <c:v>363857100</c:v>
                </c:pt>
                <c:pt idx="1">
                  <c:v>364100300</c:v>
                </c:pt>
                <c:pt idx="2">
                  <c:v>364100300</c:v>
                </c:pt>
                <c:pt idx="3">
                  <c:v>364100300</c:v>
                </c:pt>
                <c:pt idx="4">
                  <c:v>363527800</c:v>
                </c:pt>
                <c:pt idx="5">
                  <c:v>362942200</c:v>
                </c:pt>
                <c:pt idx="6">
                  <c:v>373014400</c:v>
                </c:pt>
                <c:pt idx="7">
                  <c:v>372375800</c:v>
                </c:pt>
                <c:pt idx="8">
                  <c:v>371737300</c:v>
                </c:pt>
                <c:pt idx="9">
                  <c:v>371098900</c:v>
                </c:pt>
                <c:pt idx="10">
                  <c:v>370460400</c:v>
                </c:pt>
                <c:pt idx="11">
                  <c:v>355680600</c:v>
                </c:pt>
                <c:pt idx="12">
                  <c:v>354974600</c:v>
                </c:pt>
                <c:pt idx="13">
                  <c:v>354268500</c:v>
                </c:pt>
                <c:pt idx="14">
                  <c:v>353562100</c:v>
                </c:pt>
                <c:pt idx="15">
                  <c:v>352855500</c:v>
                </c:pt>
                <c:pt idx="16">
                  <c:v>352148500</c:v>
                </c:pt>
                <c:pt idx="17">
                  <c:v>352148400</c:v>
                </c:pt>
                <c:pt idx="18">
                  <c:v>352148500</c:v>
                </c:pt>
                <c:pt idx="19">
                  <c:v>352148400</c:v>
                </c:pt>
                <c:pt idx="20">
                  <c:v>352148500</c:v>
                </c:pt>
                <c:pt idx="21">
                  <c:v>352148400</c:v>
                </c:pt>
                <c:pt idx="22">
                  <c:v>352148500</c:v>
                </c:pt>
                <c:pt idx="23">
                  <c:v>352148400</c:v>
                </c:pt>
                <c:pt idx="24">
                  <c:v>352148500</c:v>
                </c:pt>
                <c:pt idx="25">
                  <c:v>352148500</c:v>
                </c:pt>
                <c:pt idx="26">
                  <c:v>344097400</c:v>
                </c:pt>
                <c:pt idx="27">
                  <c:v>344097400</c:v>
                </c:pt>
                <c:pt idx="28">
                  <c:v>344097500</c:v>
                </c:pt>
                <c:pt idx="29">
                  <c:v>344097400</c:v>
                </c:pt>
                <c:pt idx="30">
                  <c:v>344097400</c:v>
                </c:pt>
                <c:pt idx="31">
                  <c:v>344097500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71-49AF-B4E5-F67867F02CC4}"/>
            </c:ext>
          </c:extLst>
        </c:ser>
        <c:ser>
          <c:idx val="2"/>
          <c:order val="2"/>
          <c:tx>
            <c:strRef>
              <c:f>'Total Energy'!$B$145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Energy'!$C$145:$AH$145</c:f>
              <c:numCache>
                <c:formatCode>General</c:formatCode>
                <c:ptCount val="32"/>
                <c:pt idx="0">
                  <c:v>344926100</c:v>
                </c:pt>
                <c:pt idx="1">
                  <c:v>344177300</c:v>
                </c:pt>
                <c:pt idx="2">
                  <c:v>329323000</c:v>
                </c:pt>
                <c:pt idx="3">
                  <c:v>312288500</c:v>
                </c:pt>
                <c:pt idx="4">
                  <c:v>296353600</c:v>
                </c:pt>
                <c:pt idx="5">
                  <c:v>276729600</c:v>
                </c:pt>
                <c:pt idx="6">
                  <c:v>246714800</c:v>
                </c:pt>
                <c:pt idx="7">
                  <c:v>225111800</c:v>
                </c:pt>
                <c:pt idx="8">
                  <c:v>202024400</c:v>
                </c:pt>
                <c:pt idx="9">
                  <c:v>178511700</c:v>
                </c:pt>
                <c:pt idx="10">
                  <c:v>156075300</c:v>
                </c:pt>
                <c:pt idx="11">
                  <c:v>136612500</c:v>
                </c:pt>
                <c:pt idx="12">
                  <c:v>120095500</c:v>
                </c:pt>
                <c:pt idx="13">
                  <c:v>105835400</c:v>
                </c:pt>
                <c:pt idx="14">
                  <c:v>92930430</c:v>
                </c:pt>
                <c:pt idx="15">
                  <c:v>78802110</c:v>
                </c:pt>
                <c:pt idx="16">
                  <c:v>66993620</c:v>
                </c:pt>
                <c:pt idx="17">
                  <c:v>58494170</c:v>
                </c:pt>
                <c:pt idx="18">
                  <c:v>50048760</c:v>
                </c:pt>
                <c:pt idx="19">
                  <c:v>42094830</c:v>
                </c:pt>
                <c:pt idx="20">
                  <c:v>35416690</c:v>
                </c:pt>
                <c:pt idx="21">
                  <c:v>29467150</c:v>
                </c:pt>
                <c:pt idx="22">
                  <c:v>24157510</c:v>
                </c:pt>
                <c:pt idx="23">
                  <c:v>19328200</c:v>
                </c:pt>
                <c:pt idx="24">
                  <c:v>15116050</c:v>
                </c:pt>
                <c:pt idx="25">
                  <c:v>11550030</c:v>
                </c:pt>
                <c:pt idx="26">
                  <c:v>8584650</c:v>
                </c:pt>
                <c:pt idx="27">
                  <c:v>6165961</c:v>
                </c:pt>
                <c:pt idx="28">
                  <c:v>4237493</c:v>
                </c:pt>
                <c:pt idx="29">
                  <c:v>2724187</c:v>
                </c:pt>
                <c:pt idx="30">
                  <c:v>1535964</c:v>
                </c:pt>
                <c:pt idx="31">
                  <c:v>571681.4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71-49AF-B4E5-F67867F02CC4}"/>
            </c:ext>
          </c:extLst>
        </c:ser>
        <c:ser>
          <c:idx val="3"/>
          <c:order val="3"/>
          <c:tx>
            <c:strRef>
              <c:f>'Total Energy'!$B$147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Energy'!$C$147:$AH$147</c:f>
              <c:numCache>
                <c:formatCode>General</c:formatCode>
                <c:ptCount val="32"/>
                <c:pt idx="0">
                  <c:v>321326760.80000001</c:v>
                </c:pt>
                <c:pt idx="1">
                  <c:v>322066060.69999999</c:v>
                </c:pt>
                <c:pt idx="2">
                  <c:v>324006773</c:v>
                </c:pt>
                <c:pt idx="3">
                  <c:v>332080348.5</c:v>
                </c:pt>
                <c:pt idx="4">
                  <c:v>333765780.30000001</c:v>
                </c:pt>
                <c:pt idx="5">
                  <c:v>335873387.89999998</c:v>
                </c:pt>
                <c:pt idx="6">
                  <c:v>337353820.5</c:v>
                </c:pt>
                <c:pt idx="7">
                  <c:v>337045623</c:v>
                </c:pt>
                <c:pt idx="8">
                  <c:v>336894138.60000002</c:v>
                </c:pt>
                <c:pt idx="9">
                  <c:v>336854755.60000002</c:v>
                </c:pt>
                <c:pt idx="10">
                  <c:v>337408913.10000002</c:v>
                </c:pt>
                <c:pt idx="11">
                  <c:v>337956895.69999999</c:v>
                </c:pt>
                <c:pt idx="12">
                  <c:v>338960310</c:v>
                </c:pt>
                <c:pt idx="13">
                  <c:v>338927364.10000002</c:v>
                </c:pt>
                <c:pt idx="14">
                  <c:v>337959354.80000001</c:v>
                </c:pt>
                <c:pt idx="15">
                  <c:v>336051303.89999998</c:v>
                </c:pt>
                <c:pt idx="16">
                  <c:v>334548605.80000001</c:v>
                </c:pt>
                <c:pt idx="17">
                  <c:v>332029137.60000002</c:v>
                </c:pt>
                <c:pt idx="18">
                  <c:v>328993112.80000001</c:v>
                </c:pt>
                <c:pt idx="19">
                  <c:v>325133013.60000002</c:v>
                </c:pt>
                <c:pt idx="20">
                  <c:v>320117901.30000001</c:v>
                </c:pt>
                <c:pt idx="21">
                  <c:v>314874989.19999999</c:v>
                </c:pt>
                <c:pt idx="22">
                  <c:v>317032368.69999999</c:v>
                </c:pt>
                <c:pt idx="23">
                  <c:v>319588383.39999998</c:v>
                </c:pt>
                <c:pt idx="24">
                  <c:v>322012276.80000001</c:v>
                </c:pt>
                <c:pt idx="25">
                  <c:v>324083247.19999999</c:v>
                </c:pt>
                <c:pt idx="26">
                  <c:v>326742154.60000002</c:v>
                </c:pt>
                <c:pt idx="27">
                  <c:v>328666856.89999998</c:v>
                </c:pt>
                <c:pt idx="28">
                  <c:v>330379149.19999999</c:v>
                </c:pt>
                <c:pt idx="29">
                  <c:v>331918225.10000002</c:v>
                </c:pt>
                <c:pt idx="30">
                  <c:v>332969005.89999998</c:v>
                </c:pt>
                <c:pt idx="31">
                  <c:v>334726814.89999998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71-49AF-B4E5-F67867F02CC4}"/>
            </c:ext>
          </c:extLst>
        </c:ser>
        <c:ser>
          <c:idx val="4"/>
          <c:order val="4"/>
          <c:tx>
            <c:strRef>
              <c:f>'Total Energy'!$B$143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Energy'!$C$143:$AH$143</c:f>
              <c:numCache>
                <c:formatCode>General</c:formatCode>
                <c:ptCount val="32"/>
                <c:pt idx="0">
                  <c:v>216163500</c:v>
                </c:pt>
                <c:pt idx="1">
                  <c:v>207066200</c:v>
                </c:pt>
                <c:pt idx="2">
                  <c:v>197572400</c:v>
                </c:pt>
                <c:pt idx="3">
                  <c:v>187851000</c:v>
                </c:pt>
                <c:pt idx="4">
                  <c:v>178327300</c:v>
                </c:pt>
                <c:pt idx="5">
                  <c:v>167075100</c:v>
                </c:pt>
                <c:pt idx="6">
                  <c:v>156690800</c:v>
                </c:pt>
                <c:pt idx="7">
                  <c:v>145680900</c:v>
                </c:pt>
                <c:pt idx="8">
                  <c:v>135206700</c:v>
                </c:pt>
                <c:pt idx="9">
                  <c:v>125008800</c:v>
                </c:pt>
                <c:pt idx="10">
                  <c:v>115094200</c:v>
                </c:pt>
                <c:pt idx="11">
                  <c:v>105629400</c:v>
                </c:pt>
                <c:pt idx="12">
                  <c:v>96538940</c:v>
                </c:pt>
                <c:pt idx="13">
                  <c:v>87864320</c:v>
                </c:pt>
                <c:pt idx="14">
                  <c:v>79431420</c:v>
                </c:pt>
                <c:pt idx="15">
                  <c:v>71072400</c:v>
                </c:pt>
                <c:pt idx="16">
                  <c:v>63188660</c:v>
                </c:pt>
                <c:pt idx="17">
                  <c:v>58856150</c:v>
                </c:pt>
                <c:pt idx="18">
                  <c:v>54599440</c:v>
                </c:pt>
                <c:pt idx="19">
                  <c:v>50467150</c:v>
                </c:pt>
                <c:pt idx="20">
                  <c:v>47151590</c:v>
                </c:pt>
                <c:pt idx="21">
                  <c:v>43924840</c:v>
                </c:pt>
                <c:pt idx="22">
                  <c:v>42561830</c:v>
                </c:pt>
                <c:pt idx="23">
                  <c:v>41260250</c:v>
                </c:pt>
                <c:pt idx="24">
                  <c:v>40035240</c:v>
                </c:pt>
                <c:pt idx="25">
                  <c:v>38889810</c:v>
                </c:pt>
                <c:pt idx="26">
                  <c:v>37818410</c:v>
                </c:pt>
                <c:pt idx="27">
                  <c:v>36815590</c:v>
                </c:pt>
                <c:pt idx="28">
                  <c:v>35873330</c:v>
                </c:pt>
                <c:pt idx="29">
                  <c:v>34983240</c:v>
                </c:pt>
                <c:pt idx="30">
                  <c:v>34135170</c:v>
                </c:pt>
                <c:pt idx="31">
                  <c:v>33317610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71-49AF-B4E5-F67867F02CC4}"/>
            </c:ext>
          </c:extLst>
        </c:ser>
        <c:ser>
          <c:idx val="5"/>
          <c:order val="5"/>
          <c:tx>
            <c:strRef>
              <c:f>'Total Energy'!$B$158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Energy'!$C$158:$AH$158</c:f>
              <c:numCache>
                <c:formatCode>General</c:formatCode>
                <c:ptCount val="32"/>
                <c:pt idx="0">
                  <c:v>125996294</c:v>
                </c:pt>
                <c:pt idx="1">
                  <c:v>126012723</c:v>
                </c:pt>
                <c:pt idx="2">
                  <c:v>125922658</c:v>
                </c:pt>
                <c:pt idx="3">
                  <c:v>125802599</c:v>
                </c:pt>
                <c:pt idx="4">
                  <c:v>125552561</c:v>
                </c:pt>
                <c:pt idx="5">
                  <c:v>125248075</c:v>
                </c:pt>
                <c:pt idx="6">
                  <c:v>124471713</c:v>
                </c:pt>
                <c:pt idx="7">
                  <c:v>122691521</c:v>
                </c:pt>
                <c:pt idx="8">
                  <c:v>120926834</c:v>
                </c:pt>
                <c:pt idx="9">
                  <c:v>119160779</c:v>
                </c:pt>
                <c:pt idx="10">
                  <c:v>117375847</c:v>
                </c:pt>
                <c:pt idx="11">
                  <c:v>114313642</c:v>
                </c:pt>
                <c:pt idx="12">
                  <c:v>112555471</c:v>
                </c:pt>
                <c:pt idx="13">
                  <c:v>110835981</c:v>
                </c:pt>
                <c:pt idx="14">
                  <c:v>109177967</c:v>
                </c:pt>
                <c:pt idx="15">
                  <c:v>107598746</c:v>
                </c:pt>
                <c:pt idx="16">
                  <c:v>106109140</c:v>
                </c:pt>
                <c:pt idx="17">
                  <c:v>104834980.59999999</c:v>
                </c:pt>
                <c:pt idx="18">
                  <c:v>103653122.3</c:v>
                </c:pt>
                <c:pt idx="19">
                  <c:v>102556496.09999999</c:v>
                </c:pt>
                <c:pt idx="20">
                  <c:v>101534856.7</c:v>
                </c:pt>
                <c:pt idx="21">
                  <c:v>100575185.5</c:v>
                </c:pt>
                <c:pt idx="22">
                  <c:v>99621801.799999997</c:v>
                </c:pt>
                <c:pt idx="23">
                  <c:v>98707968.030000001</c:v>
                </c:pt>
                <c:pt idx="24">
                  <c:v>97826363.730000004</c:v>
                </c:pt>
                <c:pt idx="25">
                  <c:v>96972584.359999999</c:v>
                </c:pt>
                <c:pt idx="26">
                  <c:v>95387674.319999993</c:v>
                </c:pt>
                <c:pt idx="27">
                  <c:v>94543181.370000005</c:v>
                </c:pt>
                <c:pt idx="28">
                  <c:v>93719477.049999997</c:v>
                </c:pt>
                <c:pt idx="29">
                  <c:v>92915438.340000004</c:v>
                </c:pt>
                <c:pt idx="30">
                  <c:v>92130116.870000005</c:v>
                </c:pt>
                <c:pt idx="31">
                  <c:v>91362855.420000002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71-49AF-B4E5-F67867F02CC4}"/>
            </c:ext>
          </c:extLst>
        </c:ser>
        <c:ser>
          <c:idx val="6"/>
          <c:order val="6"/>
          <c:tx>
            <c:strRef>
              <c:f>'Total Energy'!$B$151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Energy'!$C$151:$AH$151</c:f>
              <c:numCache>
                <c:formatCode>General</c:formatCode>
                <c:ptCount val="32"/>
                <c:pt idx="0">
                  <c:v>97427065.099999994</c:v>
                </c:pt>
                <c:pt idx="1">
                  <c:v>97160625.099999994</c:v>
                </c:pt>
                <c:pt idx="2">
                  <c:v>102103355.09999999</c:v>
                </c:pt>
                <c:pt idx="3">
                  <c:v>106383375.09999999</c:v>
                </c:pt>
                <c:pt idx="4">
                  <c:v>110287525.09999999</c:v>
                </c:pt>
                <c:pt idx="5">
                  <c:v>113159585.09999999</c:v>
                </c:pt>
                <c:pt idx="6">
                  <c:v>113028842.09999999</c:v>
                </c:pt>
                <c:pt idx="7">
                  <c:v>113182428.09999999</c:v>
                </c:pt>
                <c:pt idx="8">
                  <c:v>112421688.09999999</c:v>
                </c:pt>
                <c:pt idx="9">
                  <c:v>110831788.09999999</c:v>
                </c:pt>
                <c:pt idx="10">
                  <c:v>108662867.09999999</c:v>
                </c:pt>
                <c:pt idx="11">
                  <c:v>106359001.09999999</c:v>
                </c:pt>
                <c:pt idx="12">
                  <c:v>104028611.09999999</c:v>
                </c:pt>
                <c:pt idx="13">
                  <c:v>101635967.09999999</c:v>
                </c:pt>
                <c:pt idx="14">
                  <c:v>99018221.099999994</c:v>
                </c:pt>
                <c:pt idx="15">
                  <c:v>95496090.099999994</c:v>
                </c:pt>
                <c:pt idx="16">
                  <c:v>92093822.099999994</c:v>
                </c:pt>
                <c:pt idx="17">
                  <c:v>89985448.099999994</c:v>
                </c:pt>
                <c:pt idx="18">
                  <c:v>87542181.099999994</c:v>
                </c:pt>
                <c:pt idx="19">
                  <c:v>84916515.099999994</c:v>
                </c:pt>
                <c:pt idx="20">
                  <c:v>81094783.099999994</c:v>
                </c:pt>
                <c:pt idx="21">
                  <c:v>77562605.099999994</c:v>
                </c:pt>
                <c:pt idx="22">
                  <c:v>74727948.099999994</c:v>
                </c:pt>
                <c:pt idx="23">
                  <c:v>72089566.099999994</c:v>
                </c:pt>
                <c:pt idx="24">
                  <c:v>69697748.099999994</c:v>
                </c:pt>
                <c:pt idx="25">
                  <c:v>67562647.099999994</c:v>
                </c:pt>
                <c:pt idx="26">
                  <c:v>65666723.100000001</c:v>
                </c:pt>
                <c:pt idx="27">
                  <c:v>63986398.100000001</c:v>
                </c:pt>
                <c:pt idx="28">
                  <c:v>62503015.100000001</c:v>
                </c:pt>
                <c:pt idx="29">
                  <c:v>61188239.100000001</c:v>
                </c:pt>
                <c:pt idx="30">
                  <c:v>60008141.100000001</c:v>
                </c:pt>
                <c:pt idx="31">
                  <c:v>58924647.100000001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71-49AF-B4E5-F67867F02CC4}"/>
            </c:ext>
          </c:extLst>
        </c:ser>
        <c:ser>
          <c:idx val="7"/>
          <c:order val="7"/>
          <c:tx>
            <c:strRef>
              <c:f>'Total Energy'!$B$144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Energy'!$C$144:$AH$144</c:f>
              <c:numCache>
                <c:formatCode>General</c:formatCode>
                <c:ptCount val="32"/>
                <c:pt idx="0">
                  <c:v>93733824.84300001</c:v>
                </c:pt>
                <c:pt idx="1">
                  <c:v>93716900.111000001</c:v>
                </c:pt>
                <c:pt idx="2">
                  <c:v>93652984.126000002</c:v>
                </c:pt>
                <c:pt idx="3">
                  <c:v>93588969.893000007</c:v>
                </c:pt>
                <c:pt idx="4">
                  <c:v>91922154.758000001</c:v>
                </c:pt>
                <c:pt idx="5">
                  <c:v>90218324.085999995</c:v>
                </c:pt>
                <c:pt idx="6">
                  <c:v>87369089.796000004</c:v>
                </c:pt>
                <c:pt idx="7">
                  <c:v>84539190.826000005</c:v>
                </c:pt>
                <c:pt idx="8">
                  <c:v>81758575.214999989</c:v>
                </c:pt>
                <c:pt idx="9">
                  <c:v>79014217.732999995</c:v>
                </c:pt>
                <c:pt idx="10">
                  <c:v>76293341.016000003</c:v>
                </c:pt>
                <c:pt idx="11">
                  <c:v>73449181.415999994</c:v>
                </c:pt>
                <c:pt idx="12">
                  <c:v>69212781.104499996</c:v>
                </c:pt>
                <c:pt idx="13">
                  <c:v>65072216.452200003</c:v>
                </c:pt>
                <c:pt idx="14">
                  <c:v>61047498.665200002</c:v>
                </c:pt>
                <c:pt idx="15">
                  <c:v>57148806.67165</c:v>
                </c:pt>
                <c:pt idx="16">
                  <c:v>53379508.841629997</c:v>
                </c:pt>
                <c:pt idx="17">
                  <c:v>50967520.883610003</c:v>
                </c:pt>
                <c:pt idx="18">
                  <c:v>48648775.030929998</c:v>
                </c:pt>
                <c:pt idx="19">
                  <c:v>46418466.613370001</c:v>
                </c:pt>
                <c:pt idx="20">
                  <c:v>44269960.194049999</c:v>
                </c:pt>
                <c:pt idx="21">
                  <c:v>42193859.027170002</c:v>
                </c:pt>
                <c:pt idx="22">
                  <c:v>40152247.562299997</c:v>
                </c:pt>
                <c:pt idx="23">
                  <c:v>38173467.593869999</c:v>
                </c:pt>
                <c:pt idx="24">
                  <c:v>36252619.011880003</c:v>
                </c:pt>
                <c:pt idx="25">
                  <c:v>34384997.721500002</c:v>
                </c:pt>
                <c:pt idx="26">
                  <c:v>32506859.469609998</c:v>
                </c:pt>
                <c:pt idx="27">
                  <c:v>30711249.056770001</c:v>
                </c:pt>
                <c:pt idx="28">
                  <c:v>28957857.770640001</c:v>
                </c:pt>
                <c:pt idx="29">
                  <c:v>27243750.939160001</c:v>
                </c:pt>
                <c:pt idx="30">
                  <c:v>25566855.194699999</c:v>
                </c:pt>
                <c:pt idx="31">
                  <c:v>23925696.14683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71-49AF-B4E5-F67867F02CC4}"/>
            </c:ext>
          </c:extLst>
        </c:ser>
        <c:ser>
          <c:idx val="8"/>
          <c:order val="8"/>
          <c:tx>
            <c:strRef>
              <c:f>'Total Energy'!$B$142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Energy'!$C$142:$AH$142</c:f>
              <c:numCache>
                <c:formatCode>General</c:formatCode>
                <c:ptCount val="32"/>
                <c:pt idx="0">
                  <c:v>67364420</c:v>
                </c:pt>
                <c:pt idx="1">
                  <c:v>66743197</c:v>
                </c:pt>
                <c:pt idx="2">
                  <c:v>66743024</c:v>
                </c:pt>
                <c:pt idx="3">
                  <c:v>66742851</c:v>
                </c:pt>
                <c:pt idx="4">
                  <c:v>66595996</c:v>
                </c:pt>
                <c:pt idx="5">
                  <c:v>66447258</c:v>
                </c:pt>
                <c:pt idx="6">
                  <c:v>4594046</c:v>
                </c:pt>
                <c:pt idx="7">
                  <c:v>4481663</c:v>
                </c:pt>
                <c:pt idx="8">
                  <c:v>4372542</c:v>
                </c:pt>
                <c:pt idx="9">
                  <c:v>4266541</c:v>
                </c:pt>
                <c:pt idx="10">
                  <c:v>4163527</c:v>
                </c:pt>
                <c:pt idx="11">
                  <c:v>4041049</c:v>
                </c:pt>
                <c:pt idx="12">
                  <c:v>3877955</c:v>
                </c:pt>
                <c:pt idx="13">
                  <c:v>3719209</c:v>
                </c:pt>
                <c:pt idx="14">
                  <c:v>3564632</c:v>
                </c:pt>
                <c:pt idx="15">
                  <c:v>3414058</c:v>
                </c:pt>
                <c:pt idx="16">
                  <c:v>3267327</c:v>
                </c:pt>
                <c:pt idx="17">
                  <c:v>3175358</c:v>
                </c:pt>
                <c:pt idx="18">
                  <c:v>3085660</c:v>
                </c:pt>
                <c:pt idx="19">
                  <c:v>2998148</c:v>
                </c:pt>
                <c:pt idx="20">
                  <c:v>2912738</c:v>
                </c:pt>
                <c:pt idx="21">
                  <c:v>2829354</c:v>
                </c:pt>
                <c:pt idx="22">
                  <c:v>2747344</c:v>
                </c:pt>
                <c:pt idx="23">
                  <c:v>2667280</c:v>
                </c:pt>
                <c:pt idx="24">
                  <c:v>2589094</c:v>
                </c:pt>
                <c:pt idx="25">
                  <c:v>2512718</c:v>
                </c:pt>
                <c:pt idx="26">
                  <c:v>2421880</c:v>
                </c:pt>
                <c:pt idx="27">
                  <c:v>2348633</c:v>
                </c:pt>
                <c:pt idx="28">
                  <c:v>2277057.6</c:v>
                </c:pt>
                <c:pt idx="29">
                  <c:v>2207099.1</c:v>
                </c:pt>
                <c:pt idx="30">
                  <c:v>2138702.7000000002</c:v>
                </c:pt>
                <c:pt idx="31">
                  <c:v>2071817.1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71-49AF-B4E5-F67867F02CC4}"/>
            </c:ext>
          </c:extLst>
        </c:ser>
        <c:ser>
          <c:idx val="9"/>
          <c:order val="9"/>
          <c:tx>
            <c:strRef>
              <c:f>'Total Energy'!$B$155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Energy'!$C$155:$AH$155</c:f>
              <c:numCache>
                <c:formatCode>General</c:formatCode>
                <c:ptCount val="32"/>
                <c:pt idx="0">
                  <c:v>62627730</c:v>
                </c:pt>
                <c:pt idx="1">
                  <c:v>62679890</c:v>
                </c:pt>
                <c:pt idx="2">
                  <c:v>62679890</c:v>
                </c:pt>
                <c:pt idx="3">
                  <c:v>62679890</c:v>
                </c:pt>
                <c:pt idx="4">
                  <c:v>62590250</c:v>
                </c:pt>
                <c:pt idx="5">
                  <c:v>62498560</c:v>
                </c:pt>
                <c:pt idx="6">
                  <c:v>63980960</c:v>
                </c:pt>
                <c:pt idx="7">
                  <c:v>63880990</c:v>
                </c:pt>
                <c:pt idx="8">
                  <c:v>63781020</c:v>
                </c:pt>
                <c:pt idx="9">
                  <c:v>63681060</c:v>
                </c:pt>
                <c:pt idx="10">
                  <c:v>63581090</c:v>
                </c:pt>
                <c:pt idx="11">
                  <c:v>62055940</c:v>
                </c:pt>
                <c:pt idx="12">
                  <c:v>61945410</c:v>
                </c:pt>
                <c:pt idx="13">
                  <c:v>61834850</c:v>
                </c:pt>
                <c:pt idx="14">
                  <c:v>61724260</c:v>
                </c:pt>
                <c:pt idx="15">
                  <c:v>61613620</c:v>
                </c:pt>
                <c:pt idx="16">
                  <c:v>61502930</c:v>
                </c:pt>
                <c:pt idx="17">
                  <c:v>61502920</c:v>
                </c:pt>
                <c:pt idx="18">
                  <c:v>61502930</c:v>
                </c:pt>
                <c:pt idx="19">
                  <c:v>61502920</c:v>
                </c:pt>
                <c:pt idx="20">
                  <c:v>61502930</c:v>
                </c:pt>
                <c:pt idx="21">
                  <c:v>61502920</c:v>
                </c:pt>
                <c:pt idx="22">
                  <c:v>61502930</c:v>
                </c:pt>
                <c:pt idx="23">
                  <c:v>61502920</c:v>
                </c:pt>
                <c:pt idx="24">
                  <c:v>61502930</c:v>
                </c:pt>
                <c:pt idx="25">
                  <c:v>61502930</c:v>
                </c:pt>
                <c:pt idx="26">
                  <c:v>60468110</c:v>
                </c:pt>
                <c:pt idx="27">
                  <c:v>60468110</c:v>
                </c:pt>
                <c:pt idx="28">
                  <c:v>60468120</c:v>
                </c:pt>
                <c:pt idx="29">
                  <c:v>60468120</c:v>
                </c:pt>
                <c:pt idx="30">
                  <c:v>60468110</c:v>
                </c:pt>
                <c:pt idx="31">
                  <c:v>60468120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71-49AF-B4E5-F67867F02CC4}"/>
            </c:ext>
          </c:extLst>
        </c:ser>
        <c:ser>
          <c:idx val="10"/>
          <c:order val="10"/>
          <c:tx>
            <c:strRef>
              <c:f>'Total Energy'!$B$141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Energy'!$C$141:$AH$141</c:f>
              <c:numCache>
                <c:formatCode>General</c:formatCode>
                <c:ptCount val="32"/>
                <c:pt idx="0">
                  <c:v>52357190</c:v>
                </c:pt>
                <c:pt idx="1">
                  <c:v>52357190</c:v>
                </c:pt>
                <c:pt idx="2">
                  <c:v>52357190</c:v>
                </c:pt>
                <c:pt idx="3">
                  <c:v>52357190</c:v>
                </c:pt>
                <c:pt idx="4">
                  <c:v>52357190</c:v>
                </c:pt>
                <c:pt idx="5">
                  <c:v>52357190</c:v>
                </c:pt>
                <c:pt idx="6">
                  <c:v>52357184</c:v>
                </c:pt>
                <c:pt idx="7">
                  <c:v>52357184</c:v>
                </c:pt>
                <c:pt idx="8">
                  <c:v>52357181</c:v>
                </c:pt>
                <c:pt idx="9">
                  <c:v>52357183</c:v>
                </c:pt>
                <c:pt idx="10">
                  <c:v>52357182</c:v>
                </c:pt>
                <c:pt idx="11">
                  <c:v>52357187</c:v>
                </c:pt>
                <c:pt idx="12">
                  <c:v>52357178</c:v>
                </c:pt>
                <c:pt idx="13">
                  <c:v>52357186</c:v>
                </c:pt>
                <c:pt idx="14">
                  <c:v>52357180</c:v>
                </c:pt>
                <c:pt idx="15">
                  <c:v>52357190</c:v>
                </c:pt>
                <c:pt idx="16">
                  <c:v>52357186</c:v>
                </c:pt>
                <c:pt idx="17">
                  <c:v>52357188</c:v>
                </c:pt>
                <c:pt idx="18">
                  <c:v>52357187</c:v>
                </c:pt>
                <c:pt idx="19">
                  <c:v>52357183</c:v>
                </c:pt>
                <c:pt idx="20">
                  <c:v>52357184</c:v>
                </c:pt>
                <c:pt idx="21">
                  <c:v>52357182</c:v>
                </c:pt>
                <c:pt idx="22">
                  <c:v>52357186</c:v>
                </c:pt>
                <c:pt idx="23">
                  <c:v>52357187</c:v>
                </c:pt>
                <c:pt idx="24">
                  <c:v>52357184</c:v>
                </c:pt>
                <c:pt idx="25">
                  <c:v>52357188</c:v>
                </c:pt>
                <c:pt idx="26">
                  <c:v>52357187</c:v>
                </c:pt>
                <c:pt idx="27">
                  <c:v>52357184</c:v>
                </c:pt>
                <c:pt idx="28">
                  <c:v>52357187</c:v>
                </c:pt>
                <c:pt idx="29">
                  <c:v>52357186</c:v>
                </c:pt>
                <c:pt idx="30">
                  <c:v>52357182</c:v>
                </c:pt>
                <c:pt idx="31">
                  <c:v>52357184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71-49AF-B4E5-F67867F02CC4}"/>
            </c:ext>
          </c:extLst>
        </c:ser>
        <c:ser>
          <c:idx val="11"/>
          <c:order val="11"/>
          <c:tx>
            <c:strRef>
              <c:f>'Total Energy'!$B$157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Energy'!$C$157:$AH$157</c:f>
              <c:numCache>
                <c:formatCode>General</c:formatCode>
                <c:ptCount val="32"/>
                <c:pt idx="0">
                  <c:v>43192630</c:v>
                </c:pt>
                <c:pt idx="1">
                  <c:v>42283730</c:v>
                </c:pt>
                <c:pt idx="2">
                  <c:v>42283730</c:v>
                </c:pt>
                <c:pt idx="3">
                  <c:v>42283730</c:v>
                </c:pt>
                <c:pt idx="4">
                  <c:v>42226170</c:v>
                </c:pt>
                <c:pt idx="5">
                  <c:v>42167280</c:v>
                </c:pt>
                <c:pt idx="6">
                  <c:v>43119340</c:v>
                </c:pt>
                <c:pt idx="7">
                  <c:v>43055130</c:v>
                </c:pt>
                <c:pt idx="8">
                  <c:v>42990930</c:v>
                </c:pt>
                <c:pt idx="9">
                  <c:v>42926730</c:v>
                </c:pt>
                <c:pt idx="10">
                  <c:v>42862520</c:v>
                </c:pt>
                <c:pt idx="11">
                  <c:v>44625130</c:v>
                </c:pt>
                <c:pt idx="12">
                  <c:v>44554150</c:v>
                </c:pt>
                <c:pt idx="13">
                  <c:v>44483140</c:v>
                </c:pt>
                <c:pt idx="14">
                  <c:v>44412110</c:v>
                </c:pt>
                <c:pt idx="15">
                  <c:v>44341060</c:v>
                </c:pt>
                <c:pt idx="16">
                  <c:v>44269960</c:v>
                </c:pt>
                <c:pt idx="17">
                  <c:v>44269960</c:v>
                </c:pt>
                <c:pt idx="18">
                  <c:v>44269960</c:v>
                </c:pt>
                <c:pt idx="19">
                  <c:v>44269960</c:v>
                </c:pt>
                <c:pt idx="20">
                  <c:v>44269960</c:v>
                </c:pt>
                <c:pt idx="21">
                  <c:v>44269960</c:v>
                </c:pt>
                <c:pt idx="22">
                  <c:v>44269960</c:v>
                </c:pt>
                <c:pt idx="23">
                  <c:v>44269960</c:v>
                </c:pt>
                <c:pt idx="24">
                  <c:v>44269960</c:v>
                </c:pt>
                <c:pt idx="25">
                  <c:v>44269960</c:v>
                </c:pt>
                <c:pt idx="26">
                  <c:v>44510120</c:v>
                </c:pt>
                <c:pt idx="27">
                  <c:v>44510120</c:v>
                </c:pt>
                <c:pt idx="28">
                  <c:v>44510130</c:v>
                </c:pt>
                <c:pt idx="29">
                  <c:v>44510120</c:v>
                </c:pt>
                <c:pt idx="30">
                  <c:v>44510120</c:v>
                </c:pt>
                <c:pt idx="31">
                  <c:v>44510130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71-49AF-B4E5-F67867F02CC4}"/>
            </c:ext>
          </c:extLst>
        </c:ser>
        <c:ser>
          <c:idx val="12"/>
          <c:order val="12"/>
          <c:tx>
            <c:strRef>
              <c:f>'Total Energy'!$B$146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Energy'!$C$146:$AH$146</c:f>
              <c:numCache>
                <c:formatCode>General</c:formatCode>
                <c:ptCount val="32"/>
                <c:pt idx="0">
                  <c:v>18826570</c:v>
                </c:pt>
                <c:pt idx="1">
                  <c:v>18861950</c:v>
                </c:pt>
                <c:pt idx="2">
                  <c:v>19440780</c:v>
                </c:pt>
                <c:pt idx="3">
                  <c:v>20760890</c:v>
                </c:pt>
                <c:pt idx="4">
                  <c:v>22477050</c:v>
                </c:pt>
                <c:pt idx="5">
                  <c:v>24904710</c:v>
                </c:pt>
                <c:pt idx="6">
                  <c:v>27643050</c:v>
                </c:pt>
                <c:pt idx="7">
                  <c:v>30541350</c:v>
                </c:pt>
                <c:pt idx="8">
                  <c:v>33635860</c:v>
                </c:pt>
                <c:pt idx="9">
                  <c:v>37173040</c:v>
                </c:pt>
                <c:pt idx="10">
                  <c:v>41398390</c:v>
                </c:pt>
                <c:pt idx="11">
                  <c:v>46083170</c:v>
                </c:pt>
                <c:pt idx="12">
                  <c:v>51120480</c:v>
                </c:pt>
                <c:pt idx="13">
                  <c:v>55886980</c:v>
                </c:pt>
                <c:pt idx="14">
                  <c:v>59829690</c:v>
                </c:pt>
                <c:pt idx="15">
                  <c:v>62621370</c:v>
                </c:pt>
                <c:pt idx="16">
                  <c:v>64094700</c:v>
                </c:pt>
                <c:pt idx="17">
                  <c:v>64175810</c:v>
                </c:pt>
                <c:pt idx="18">
                  <c:v>63014770</c:v>
                </c:pt>
                <c:pt idx="19">
                  <c:v>60772710</c:v>
                </c:pt>
                <c:pt idx="20">
                  <c:v>57891370</c:v>
                </c:pt>
                <c:pt idx="21">
                  <c:v>54442160</c:v>
                </c:pt>
                <c:pt idx="22">
                  <c:v>54086110</c:v>
                </c:pt>
                <c:pt idx="23">
                  <c:v>54188870</c:v>
                </c:pt>
                <c:pt idx="24">
                  <c:v>54122270</c:v>
                </c:pt>
                <c:pt idx="25">
                  <c:v>53923830</c:v>
                </c:pt>
                <c:pt idx="26">
                  <c:v>53614730</c:v>
                </c:pt>
                <c:pt idx="27">
                  <c:v>53192680</c:v>
                </c:pt>
                <c:pt idx="28">
                  <c:v>52721840</c:v>
                </c:pt>
                <c:pt idx="29">
                  <c:v>52210740</c:v>
                </c:pt>
                <c:pt idx="30">
                  <c:v>51746320</c:v>
                </c:pt>
                <c:pt idx="31">
                  <c:v>51280850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71-49AF-B4E5-F67867F02CC4}"/>
            </c:ext>
          </c:extLst>
        </c:ser>
        <c:ser>
          <c:idx val="13"/>
          <c:order val="13"/>
          <c:tx>
            <c:strRef>
              <c:f>'Total Energy'!$B$152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Energy'!$C$152:$AH$152</c:f>
              <c:numCache>
                <c:formatCode>General</c:formatCode>
                <c:ptCount val="32"/>
                <c:pt idx="0">
                  <c:v>11547872.9618</c:v>
                </c:pt>
                <c:pt idx="1">
                  <c:v>11537872.561799999</c:v>
                </c:pt>
                <c:pt idx="2">
                  <c:v>11506891.141799999</c:v>
                </c:pt>
                <c:pt idx="3">
                  <c:v>11461867.5228</c:v>
                </c:pt>
                <c:pt idx="4">
                  <c:v>11311755.841800001</c:v>
                </c:pt>
                <c:pt idx="5">
                  <c:v>11039911.160800001</c:v>
                </c:pt>
                <c:pt idx="6">
                  <c:v>10727430.6678</c:v>
                </c:pt>
                <c:pt idx="7">
                  <c:v>10343579.299799999</c:v>
                </c:pt>
                <c:pt idx="8">
                  <c:v>9936402.9668000005</c:v>
                </c:pt>
                <c:pt idx="9">
                  <c:v>9498127.5888</c:v>
                </c:pt>
                <c:pt idx="10">
                  <c:v>8981872.5947999991</c:v>
                </c:pt>
                <c:pt idx="11">
                  <c:v>8458958.7268000003</c:v>
                </c:pt>
                <c:pt idx="12">
                  <c:v>7826116.8427999998</c:v>
                </c:pt>
                <c:pt idx="13">
                  <c:v>7202476.5977999996</c:v>
                </c:pt>
                <c:pt idx="14">
                  <c:v>6603675.6617999999</c:v>
                </c:pt>
                <c:pt idx="15">
                  <c:v>6034879.3177999994</c:v>
                </c:pt>
                <c:pt idx="16">
                  <c:v>5538478.6828000015</c:v>
                </c:pt>
                <c:pt idx="17">
                  <c:v>5137346.4078000002</c:v>
                </c:pt>
                <c:pt idx="18">
                  <c:v>4776120.2498000003</c:v>
                </c:pt>
                <c:pt idx="19">
                  <c:v>4449990.2747999998</c:v>
                </c:pt>
                <c:pt idx="20">
                  <c:v>4150714.6718000001</c:v>
                </c:pt>
                <c:pt idx="21">
                  <c:v>3877584.8377999999</c:v>
                </c:pt>
                <c:pt idx="22">
                  <c:v>3717620.7548000002</c:v>
                </c:pt>
                <c:pt idx="23">
                  <c:v>3581149.6878</c:v>
                </c:pt>
                <c:pt idx="24">
                  <c:v>3465828.1077999999</c:v>
                </c:pt>
                <c:pt idx="25">
                  <c:v>3365826.3287999998</c:v>
                </c:pt>
                <c:pt idx="26">
                  <c:v>3277099.4528000001</c:v>
                </c:pt>
                <c:pt idx="27">
                  <c:v>3191562.1667999998</c:v>
                </c:pt>
                <c:pt idx="28">
                  <c:v>3109916.2288000002</c:v>
                </c:pt>
                <c:pt idx="29">
                  <c:v>3031100.4167999998</c:v>
                </c:pt>
                <c:pt idx="30">
                  <c:v>2953139.3838</c:v>
                </c:pt>
                <c:pt idx="31">
                  <c:v>2880049.6756000002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C71-49AF-B4E5-F67867F02CC4}"/>
            </c:ext>
          </c:extLst>
        </c:ser>
        <c:ser>
          <c:idx val="14"/>
          <c:order val="14"/>
          <c:tx>
            <c:strRef>
              <c:f>'Total Energy'!$B$153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Energy'!$C$153:$AH$153</c:f>
              <c:numCache>
                <c:formatCode>General</c:formatCode>
                <c:ptCount val="32"/>
                <c:pt idx="0">
                  <c:v>2016918.442</c:v>
                </c:pt>
                <c:pt idx="1">
                  <c:v>2017239.172</c:v>
                </c:pt>
                <c:pt idx="2">
                  <c:v>2094246.362</c:v>
                </c:pt>
                <c:pt idx="3">
                  <c:v>2290151.1719999998</c:v>
                </c:pt>
                <c:pt idx="4">
                  <c:v>4289523.3657999998</c:v>
                </c:pt>
                <c:pt idx="5">
                  <c:v>7072553.0855999999</c:v>
                </c:pt>
                <c:pt idx="6">
                  <c:v>9872931.2332000006</c:v>
                </c:pt>
                <c:pt idx="7">
                  <c:v>15721015.771</c:v>
                </c:pt>
                <c:pt idx="8">
                  <c:v>21585110.067000002</c:v>
                </c:pt>
                <c:pt idx="9">
                  <c:v>27469122.131999999</c:v>
                </c:pt>
                <c:pt idx="10">
                  <c:v>33403449.625999998</c:v>
                </c:pt>
                <c:pt idx="11">
                  <c:v>39251466.713</c:v>
                </c:pt>
                <c:pt idx="12">
                  <c:v>47282647.980999999</c:v>
                </c:pt>
                <c:pt idx="13">
                  <c:v>55415716.517999999</c:v>
                </c:pt>
                <c:pt idx="14">
                  <c:v>63669977.5</c:v>
                </c:pt>
                <c:pt idx="15">
                  <c:v>72083690.280000001</c:v>
                </c:pt>
                <c:pt idx="16">
                  <c:v>80576348.239999995</c:v>
                </c:pt>
                <c:pt idx="17">
                  <c:v>83835981.890000001</c:v>
                </c:pt>
                <c:pt idx="18">
                  <c:v>87155621.260000005</c:v>
                </c:pt>
                <c:pt idx="19">
                  <c:v>90531464.700000003</c:v>
                </c:pt>
                <c:pt idx="20">
                  <c:v>93988736.219999999</c:v>
                </c:pt>
                <c:pt idx="21">
                  <c:v>97432830.280000001</c:v>
                </c:pt>
                <c:pt idx="22">
                  <c:v>95740616.939999998</c:v>
                </c:pt>
                <c:pt idx="23">
                  <c:v>93923030.939999998</c:v>
                </c:pt>
                <c:pt idx="24">
                  <c:v>92374940.640000001</c:v>
                </c:pt>
                <c:pt idx="25">
                  <c:v>90942479.040000007</c:v>
                </c:pt>
                <c:pt idx="26">
                  <c:v>89865876.769999996</c:v>
                </c:pt>
                <c:pt idx="27">
                  <c:v>88917483.459999993</c:v>
                </c:pt>
                <c:pt idx="28">
                  <c:v>88059105.329999998</c:v>
                </c:pt>
                <c:pt idx="29">
                  <c:v>87270393.379999995</c:v>
                </c:pt>
                <c:pt idx="30">
                  <c:v>86365839.679999992</c:v>
                </c:pt>
                <c:pt idx="31">
                  <c:v>85865119.280000001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71-49AF-B4E5-F67867F02CC4}"/>
            </c:ext>
          </c:extLst>
        </c:ser>
        <c:ser>
          <c:idx val="15"/>
          <c:order val="15"/>
          <c:tx>
            <c:strRef>
              <c:f>'Total Energy'!$B$149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Energy'!$C$149:$AH$149</c:f>
              <c:numCache>
                <c:formatCode>General</c:formatCode>
                <c:ptCount val="32"/>
                <c:pt idx="0">
                  <c:v>610090.47</c:v>
                </c:pt>
                <c:pt idx="1">
                  <c:v>610090.47199999995</c:v>
                </c:pt>
                <c:pt idx="2">
                  <c:v>610090.44700000004</c:v>
                </c:pt>
                <c:pt idx="3">
                  <c:v>610090.45799999998</c:v>
                </c:pt>
                <c:pt idx="4">
                  <c:v>5765270.2699999996</c:v>
                </c:pt>
                <c:pt idx="5">
                  <c:v>10918828.609999999</c:v>
                </c:pt>
                <c:pt idx="6">
                  <c:v>16071761.810000001</c:v>
                </c:pt>
                <c:pt idx="7">
                  <c:v>21225024.640000001</c:v>
                </c:pt>
                <c:pt idx="8">
                  <c:v>26378509.620000001</c:v>
                </c:pt>
                <c:pt idx="9">
                  <c:v>31532105.039999999</c:v>
                </c:pt>
                <c:pt idx="10">
                  <c:v>36685710.270000003</c:v>
                </c:pt>
                <c:pt idx="11">
                  <c:v>41839230.109999999</c:v>
                </c:pt>
                <c:pt idx="12">
                  <c:v>46992626.899999999</c:v>
                </c:pt>
                <c:pt idx="13">
                  <c:v>52145817.399999999</c:v>
                </c:pt>
                <c:pt idx="14">
                  <c:v>57298730.100000001</c:v>
                </c:pt>
                <c:pt idx="15">
                  <c:v>62451289.799999997</c:v>
                </c:pt>
                <c:pt idx="16">
                  <c:v>67603417.400000006</c:v>
                </c:pt>
                <c:pt idx="17">
                  <c:v>67603414.299999997</c:v>
                </c:pt>
                <c:pt idx="18">
                  <c:v>67603411.5</c:v>
                </c:pt>
                <c:pt idx="19">
                  <c:v>67603417.900000006</c:v>
                </c:pt>
                <c:pt idx="20">
                  <c:v>67602168.599999994</c:v>
                </c:pt>
                <c:pt idx="21">
                  <c:v>67595822</c:v>
                </c:pt>
                <c:pt idx="22">
                  <c:v>67593928.099999994</c:v>
                </c:pt>
                <c:pt idx="23">
                  <c:v>67592670.599999994</c:v>
                </c:pt>
                <c:pt idx="24">
                  <c:v>67591900</c:v>
                </c:pt>
                <c:pt idx="25">
                  <c:v>67591061.900000006</c:v>
                </c:pt>
                <c:pt idx="26">
                  <c:v>67590886.200000003</c:v>
                </c:pt>
                <c:pt idx="27">
                  <c:v>67590506.099999994</c:v>
                </c:pt>
                <c:pt idx="28">
                  <c:v>67590130.200000003</c:v>
                </c:pt>
                <c:pt idx="29">
                  <c:v>67589765.700000003</c:v>
                </c:pt>
                <c:pt idx="30">
                  <c:v>67589153.799999997</c:v>
                </c:pt>
                <c:pt idx="31">
                  <c:v>67589061.900000006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C71-49AF-B4E5-F67867F02CC4}"/>
            </c:ext>
          </c:extLst>
        </c:ser>
        <c:ser>
          <c:idx val="16"/>
          <c:order val="16"/>
          <c:tx>
            <c:strRef>
              <c:f>'Total Energy'!$B$154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Energy'!$C$154:$AH$154</c:f>
              <c:numCache>
                <c:formatCode>General</c:formatCode>
                <c:ptCount val="32"/>
                <c:pt idx="0">
                  <c:v>441453.027</c:v>
                </c:pt>
                <c:pt idx="1">
                  <c:v>875420.12699999998</c:v>
                </c:pt>
                <c:pt idx="2">
                  <c:v>875420.12699999998</c:v>
                </c:pt>
                <c:pt idx="3">
                  <c:v>875420.12699999998</c:v>
                </c:pt>
                <c:pt idx="4">
                  <c:v>874554.62699999998</c:v>
                </c:pt>
                <c:pt idx="5">
                  <c:v>873669.32700000005</c:v>
                </c:pt>
                <c:pt idx="6">
                  <c:v>887979.98800000001</c:v>
                </c:pt>
                <c:pt idx="7">
                  <c:v>887014.46899999992</c:v>
                </c:pt>
                <c:pt idx="8">
                  <c:v>886048.95200000005</c:v>
                </c:pt>
                <c:pt idx="9">
                  <c:v>885083.53700000001</c:v>
                </c:pt>
                <c:pt idx="10">
                  <c:v>884118.125</c:v>
                </c:pt>
                <c:pt idx="11">
                  <c:v>869391.31400000001</c:v>
                </c:pt>
                <c:pt idx="12">
                  <c:v>868327.66399999999</c:v>
                </c:pt>
                <c:pt idx="13">
                  <c:v>867263.61599999992</c:v>
                </c:pt>
                <c:pt idx="14">
                  <c:v>866199.37</c:v>
                </c:pt>
                <c:pt idx="15">
                  <c:v>865134.62600000005</c:v>
                </c:pt>
                <c:pt idx="16">
                  <c:v>864069.28399999999</c:v>
                </c:pt>
                <c:pt idx="17">
                  <c:v>864076.83699999994</c:v>
                </c:pt>
                <c:pt idx="18">
                  <c:v>864084.39199999999</c:v>
                </c:pt>
                <c:pt idx="19">
                  <c:v>864091.95</c:v>
                </c:pt>
                <c:pt idx="20">
                  <c:v>864099.50899999996</c:v>
                </c:pt>
                <c:pt idx="21">
                  <c:v>864107.071</c:v>
                </c:pt>
                <c:pt idx="22">
                  <c:v>864109.82</c:v>
                </c:pt>
                <c:pt idx="23">
                  <c:v>864112.571</c:v>
                </c:pt>
                <c:pt idx="24">
                  <c:v>864115.32400000002</c:v>
                </c:pt>
                <c:pt idx="25">
                  <c:v>864118.07900000003</c:v>
                </c:pt>
                <c:pt idx="26">
                  <c:v>854128.93599999999</c:v>
                </c:pt>
                <c:pt idx="27">
                  <c:v>854128.17299999995</c:v>
                </c:pt>
                <c:pt idx="28">
                  <c:v>854127.41099999996</c:v>
                </c:pt>
                <c:pt idx="29">
                  <c:v>854126.652</c:v>
                </c:pt>
                <c:pt idx="30">
                  <c:v>854125.89399999997</c:v>
                </c:pt>
                <c:pt idx="31">
                  <c:v>854125.13899999997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C71-49AF-B4E5-F67867F02CC4}"/>
            </c:ext>
          </c:extLst>
        </c:ser>
        <c:ser>
          <c:idx val="17"/>
          <c:order val="17"/>
          <c:tx>
            <c:strRef>
              <c:f>'Total Energy'!$B$148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Energy'!$C$148:$AH$148</c:f>
              <c:numCache>
                <c:formatCode>General</c:formatCode>
                <c:ptCount val="32"/>
                <c:pt idx="0">
                  <c:v>0</c:v>
                </c:pt>
                <c:pt idx="1">
                  <c:v>704949.7</c:v>
                </c:pt>
                <c:pt idx="2">
                  <c:v>4497243.3745999997</c:v>
                </c:pt>
                <c:pt idx="3">
                  <c:v>8168105.7489999998</c:v>
                </c:pt>
                <c:pt idx="4">
                  <c:v>15516991.643549999</c:v>
                </c:pt>
                <c:pt idx="5">
                  <c:v>25899799.192499999</c:v>
                </c:pt>
                <c:pt idx="6">
                  <c:v>35826905.047200002</c:v>
                </c:pt>
                <c:pt idx="7">
                  <c:v>45199932.2381</c:v>
                </c:pt>
                <c:pt idx="8">
                  <c:v>54095626.321999997</c:v>
                </c:pt>
                <c:pt idx="9">
                  <c:v>62547776.924999997</c:v>
                </c:pt>
                <c:pt idx="10">
                  <c:v>70267312.230999991</c:v>
                </c:pt>
                <c:pt idx="11">
                  <c:v>77574195.709000006</c:v>
                </c:pt>
                <c:pt idx="12">
                  <c:v>87761080.088</c:v>
                </c:pt>
                <c:pt idx="13">
                  <c:v>97397043.706</c:v>
                </c:pt>
                <c:pt idx="14">
                  <c:v>106553725.994</c:v>
                </c:pt>
                <c:pt idx="15">
                  <c:v>115231217.74600001</c:v>
                </c:pt>
                <c:pt idx="16">
                  <c:v>123860863.40899999</c:v>
                </c:pt>
                <c:pt idx="17">
                  <c:v>125769941.749</c:v>
                </c:pt>
                <c:pt idx="18">
                  <c:v>127800524.109</c:v>
                </c:pt>
                <c:pt idx="19">
                  <c:v>129943536.639</c:v>
                </c:pt>
                <c:pt idx="20">
                  <c:v>132141458.899</c:v>
                </c:pt>
                <c:pt idx="21">
                  <c:v>134512643.54899999</c:v>
                </c:pt>
                <c:pt idx="22">
                  <c:v>137101745.52900001</c:v>
                </c:pt>
                <c:pt idx="23">
                  <c:v>139696637.229</c:v>
                </c:pt>
                <c:pt idx="24">
                  <c:v>142284790.48899999</c:v>
                </c:pt>
                <c:pt idx="25">
                  <c:v>144838054.12900001</c:v>
                </c:pt>
                <c:pt idx="26">
                  <c:v>147403190.65900001</c:v>
                </c:pt>
                <c:pt idx="27">
                  <c:v>149890003.99599999</c:v>
                </c:pt>
                <c:pt idx="28">
                  <c:v>152333838.285</c:v>
                </c:pt>
                <c:pt idx="29">
                  <c:v>154732172.69400001</c:v>
                </c:pt>
                <c:pt idx="30">
                  <c:v>157053604.02500001</c:v>
                </c:pt>
                <c:pt idx="31">
                  <c:v>159391359.287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71-49AF-B4E5-F67867F02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30001"/>
        <c:axId val="50530002"/>
      </c:areaChart>
      <c:catAx>
        <c:axId val="505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30002"/>
        <c:crosses val="autoZero"/>
        <c:auto val="1"/>
        <c:lblAlgn val="ctr"/>
        <c:lblOffset val="100"/>
        <c:tickLblSkip val="2"/>
        <c:noMultiLvlLbl val="0"/>
      </c:catAx>
      <c:valAx>
        <c:axId val="505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3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Energy'!$B$150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Energy'!$C$150,'Total Energy'!$AH$150)</c:f>
              <c:numCache>
                <c:formatCode>General</c:formatCode>
                <c:ptCount val="2"/>
                <c:pt idx="0">
                  <c:v>368529502.75</c:v>
                </c:pt>
                <c:pt idx="1">
                  <c:v>144032.435248408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D-4F31-92C3-3119FB073F3F}"/>
            </c:ext>
          </c:extLst>
        </c:ser>
        <c:ser>
          <c:idx val="1"/>
          <c:order val="1"/>
          <c:tx>
            <c:strRef>
              <c:f>'Total Energy'!$B$156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Energy'!$C$156,'Total Energy'!$AH$156)</c:f>
              <c:numCache>
                <c:formatCode>General</c:formatCode>
                <c:ptCount val="2"/>
                <c:pt idx="0">
                  <c:v>363857100</c:v>
                </c:pt>
                <c:pt idx="1">
                  <c:v>344097500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D-4F31-92C3-3119FB073F3F}"/>
            </c:ext>
          </c:extLst>
        </c:ser>
        <c:ser>
          <c:idx val="2"/>
          <c:order val="2"/>
          <c:tx>
            <c:strRef>
              <c:f>'Total Energy'!$B$145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Energy'!$C$145,'Total Energy'!$AH$145)</c:f>
              <c:numCache>
                <c:formatCode>General</c:formatCode>
                <c:ptCount val="2"/>
                <c:pt idx="0">
                  <c:v>344926100</c:v>
                </c:pt>
                <c:pt idx="1">
                  <c:v>571681.4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4D-4F31-92C3-3119FB073F3F}"/>
            </c:ext>
          </c:extLst>
        </c:ser>
        <c:ser>
          <c:idx val="3"/>
          <c:order val="3"/>
          <c:tx>
            <c:strRef>
              <c:f>'Total Energy'!$B$147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Energy'!$C$147,'Total Energy'!$AH$147)</c:f>
              <c:numCache>
                <c:formatCode>General</c:formatCode>
                <c:ptCount val="2"/>
                <c:pt idx="0">
                  <c:v>321326760.80000001</c:v>
                </c:pt>
                <c:pt idx="1">
                  <c:v>334726814.89999998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4D-4F31-92C3-3119FB073F3F}"/>
            </c:ext>
          </c:extLst>
        </c:ser>
        <c:ser>
          <c:idx val="4"/>
          <c:order val="4"/>
          <c:tx>
            <c:strRef>
              <c:f>'Total Energy'!$B$143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Energy'!$C$143,'Total Energy'!$AH$143)</c:f>
              <c:numCache>
                <c:formatCode>General</c:formatCode>
                <c:ptCount val="2"/>
                <c:pt idx="0">
                  <c:v>216163500</c:v>
                </c:pt>
                <c:pt idx="1">
                  <c:v>33317610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4D-4F31-92C3-3119FB073F3F}"/>
            </c:ext>
          </c:extLst>
        </c:ser>
        <c:ser>
          <c:idx val="5"/>
          <c:order val="5"/>
          <c:tx>
            <c:strRef>
              <c:f>'Total Energy'!$B$158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Energy'!$C$158,'Total Energy'!$AH$158)</c:f>
              <c:numCache>
                <c:formatCode>General</c:formatCode>
                <c:ptCount val="2"/>
                <c:pt idx="0">
                  <c:v>125996294</c:v>
                </c:pt>
                <c:pt idx="1">
                  <c:v>91362855.420000002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4D-4F31-92C3-3119FB073F3F}"/>
            </c:ext>
          </c:extLst>
        </c:ser>
        <c:ser>
          <c:idx val="6"/>
          <c:order val="6"/>
          <c:tx>
            <c:strRef>
              <c:f>'Total Energy'!$B$151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Energy'!$C$151,'Total Energy'!$AH$151)</c:f>
              <c:numCache>
                <c:formatCode>General</c:formatCode>
                <c:ptCount val="2"/>
                <c:pt idx="0">
                  <c:v>97427065.099999994</c:v>
                </c:pt>
                <c:pt idx="1">
                  <c:v>58924647.100000001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4D-4F31-92C3-3119FB073F3F}"/>
            </c:ext>
          </c:extLst>
        </c:ser>
        <c:ser>
          <c:idx val="7"/>
          <c:order val="7"/>
          <c:tx>
            <c:strRef>
              <c:f>'Total Energy'!$B$144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Energy'!$C$144,'Total Energy'!$AH$144)</c:f>
              <c:numCache>
                <c:formatCode>General</c:formatCode>
                <c:ptCount val="2"/>
                <c:pt idx="0">
                  <c:v>93733824.84300001</c:v>
                </c:pt>
                <c:pt idx="1">
                  <c:v>23925696.14683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4D-4F31-92C3-3119FB073F3F}"/>
            </c:ext>
          </c:extLst>
        </c:ser>
        <c:ser>
          <c:idx val="8"/>
          <c:order val="8"/>
          <c:tx>
            <c:strRef>
              <c:f>'Total Energy'!$B$142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Energy'!$C$142,'Total Energy'!$AH$142)</c:f>
              <c:numCache>
                <c:formatCode>General</c:formatCode>
                <c:ptCount val="2"/>
                <c:pt idx="0">
                  <c:v>67364420</c:v>
                </c:pt>
                <c:pt idx="1">
                  <c:v>2071817.1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4D-4F31-92C3-3119FB073F3F}"/>
            </c:ext>
          </c:extLst>
        </c:ser>
        <c:ser>
          <c:idx val="9"/>
          <c:order val="9"/>
          <c:tx>
            <c:strRef>
              <c:f>'Total Energy'!$B$155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Energy'!$C$155,'Total Energy'!$AH$155)</c:f>
              <c:numCache>
                <c:formatCode>General</c:formatCode>
                <c:ptCount val="2"/>
                <c:pt idx="0">
                  <c:v>62627730</c:v>
                </c:pt>
                <c:pt idx="1">
                  <c:v>60468120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4D-4F31-92C3-3119FB073F3F}"/>
            </c:ext>
          </c:extLst>
        </c:ser>
        <c:ser>
          <c:idx val="10"/>
          <c:order val="10"/>
          <c:tx>
            <c:strRef>
              <c:f>'Total Energy'!$B$141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Energy'!$C$141,'Total Energy'!$AH$141)</c:f>
              <c:numCache>
                <c:formatCode>General</c:formatCode>
                <c:ptCount val="2"/>
                <c:pt idx="0">
                  <c:v>52357190</c:v>
                </c:pt>
                <c:pt idx="1">
                  <c:v>52357184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4D-4F31-92C3-3119FB073F3F}"/>
            </c:ext>
          </c:extLst>
        </c:ser>
        <c:ser>
          <c:idx val="11"/>
          <c:order val="11"/>
          <c:tx>
            <c:strRef>
              <c:f>'Total Energy'!$B$157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Energy'!$C$157,'Total Energy'!$AH$157)</c:f>
              <c:numCache>
                <c:formatCode>General</c:formatCode>
                <c:ptCount val="2"/>
                <c:pt idx="0">
                  <c:v>43192630</c:v>
                </c:pt>
                <c:pt idx="1">
                  <c:v>44510130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4D-4F31-92C3-3119FB073F3F}"/>
            </c:ext>
          </c:extLst>
        </c:ser>
        <c:ser>
          <c:idx val="12"/>
          <c:order val="12"/>
          <c:tx>
            <c:strRef>
              <c:f>'Total Energy'!$B$146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Energy'!$C$146,'Total Energy'!$AH$146)</c:f>
              <c:numCache>
                <c:formatCode>General</c:formatCode>
                <c:ptCount val="2"/>
                <c:pt idx="0">
                  <c:v>18826570</c:v>
                </c:pt>
                <c:pt idx="1">
                  <c:v>51280850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4D-4F31-92C3-3119FB073F3F}"/>
            </c:ext>
          </c:extLst>
        </c:ser>
        <c:ser>
          <c:idx val="13"/>
          <c:order val="13"/>
          <c:tx>
            <c:strRef>
              <c:f>'Total Energy'!$B$152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Energy'!$C$152,'Total Energy'!$AH$152)</c:f>
              <c:numCache>
                <c:formatCode>General</c:formatCode>
                <c:ptCount val="2"/>
                <c:pt idx="0">
                  <c:v>11547872.9618</c:v>
                </c:pt>
                <c:pt idx="1">
                  <c:v>2880049.6756000002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F4D-4F31-92C3-3119FB073F3F}"/>
            </c:ext>
          </c:extLst>
        </c:ser>
        <c:ser>
          <c:idx val="14"/>
          <c:order val="14"/>
          <c:tx>
            <c:strRef>
              <c:f>'Total Energy'!$B$153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Energy'!$C$153,'Total Energy'!$AH$153)</c:f>
              <c:numCache>
                <c:formatCode>General</c:formatCode>
                <c:ptCount val="2"/>
                <c:pt idx="0">
                  <c:v>2016918.442</c:v>
                </c:pt>
                <c:pt idx="1">
                  <c:v>85865119.280000001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4D-4F31-92C3-3119FB073F3F}"/>
            </c:ext>
          </c:extLst>
        </c:ser>
        <c:ser>
          <c:idx val="15"/>
          <c:order val="15"/>
          <c:tx>
            <c:strRef>
              <c:f>'Total Energy'!$B$149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Energy'!$C$149,'Total Energy'!$AH$149)</c:f>
              <c:numCache>
                <c:formatCode>General</c:formatCode>
                <c:ptCount val="2"/>
                <c:pt idx="0">
                  <c:v>610090.47</c:v>
                </c:pt>
                <c:pt idx="1">
                  <c:v>67589061.900000006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F4D-4F31-92C3-3119FB073F3F}"/>
            </c:ext>
          </c:extLst>
        </c:ser>
        <c:ser>
          <c:idx val="16"/>
          <c:order val="16"/>
          <c:tx>
            <c:strRef>
              <c:f>'Total Energy'!$B$154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Energy'!$C$154,'Total Energy'!$AH$154)</c:f>
              <c:numCache>
                <c:formatCode>General</c:formatCode>
                <c:ptCount val="2"/>
                <c:pt idx="0">
                  <c:v>441453.027</c:v>
                </c:pt>
                <c:pt idx="1">
                  <c:v>854125.13899999997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F4D-4F31-92C3-3119FB073F3F}"/>
            </c:ext>
          </c:extLst>
        </c:ser>
        <c:ser>
          <c:idx val="17"/>
          <c:order val="17"/>
          <c:tx>
            <c:strRef>
              <c:f>'Total Energy'!$B$148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Energy'!$C$148,'Total Energy'!$AH$148)</c:f>
              <c:numCache>
                <c:formatCode>General</c:formatCode>
                <c:ptCount val="2"/>
                <c:pt idx="0">
                  <c:v>0</c:v>
                </c:pt>
                <c:pt idx="1">
                  <c:v>159391359.287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4D-4F31-92C3-3119FB07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40001"/>
        <c:axId val="50540002"/>
      </c:barChart>
      <c:catAx>
        <c:axId val="505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40002"/>
        <c:crosses val="autoZero"/>
        <c:auto val="1"/>
        <c:lblAlgn val="ctr"/>
        <c:lblOffset val="100"/>
        <c:noMultiLvlLbl val="0"/>
      </c:catAx>
      <c:valAx>
        <c:axId val="505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4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Energy'!$B$169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Energy'!$C$169:$AH$169</c:f>
              <c:numCache>
                <c:formatCode>General</c:formatCode>
                <c:ptCount val="32"/>
                <c:pt idx="0">
                  <c:v>368529502.75</c:v>
                </c:pt>
                <c:pt idx="1">
                  <c:v>367704417.44999999</c:v>
                </c:pt>
                <c:pt idx="2">
                  <c:v>366959119.05000001</c:v>
                </c:pt>
                <c:pt idx="3">
                  <c:v>365975573.64999998</c:v>
                </c:pt>
                <c:pt idx="4">
                  <c:v>364581570.14999998</c:v>
                </c:pt>
                <c:pt idx="5">
                  <c:v>360514348.75</c:v>
                </c:pt>
                <c:pt idx="6">
                  <c:v>361575684.25</c:v>
                </c:pt>
                <c:pt idx="7">
                  <c:v>357793706.94999999</c:v>
                </c:pt>
                <c:pt idx="8">
                  <c:v>353916216.44999999</c:v>
                </c:pt>
                <c:pt idx="9">
                  <c:v>349814765.14999998</c:v>
                </c:pt>
                <c:pt idx="10">
                  <c:v>343730080.75</c:v>
                </c:pt>
                <c:pt idx="11">
                  <c:v>270796892.25</c:v>
                </c:pt>
                <c:pt idx="12">
                  <c:v>264368237.94999999</c:v>
                </c:pt>
                <c:pt idx="13">
                  <c:v>257629423.65000001</c:v>
                </c:pt>
                <c:pt idx="14">
                  <c:v>250820929.25</c:v>
                </c:pt>
                <c:pt idx="15">
                  <c:v>243416704.84999999</c:v>
                </c:pt>
                <c:pt idx="16">
                  <c:v>239450038.55000001</c:v>
                </c:pt>
                <c:pt idx="17">
                  <c:v>235315131.84999999</c:v>
                </c:pt>
                <c:pt idx="18">
                  <c:v>231729519.05000001</c:v>
                </c:pt>
                <c:pt idx="19">
                  <c:v>228617671.25</c:v>
                </c:pt>
                <c:pt idx="20">
                  <c:v>225107705.94999999</c:v>
                </c:pt>
                <c:pt idx="21">
                  <c:v>223559157.55000001</c:v>
                </c:pt>
                <c:pt idx="22">
                  <c:v>221416565.44999999</c:v>
                </c:pt>
                <c:pt idx="23">
                  <c:v>219515934.25</c:v>
                </c:pt>
                <c:pt idx="24">
                  <c:v>217846263.05000001</c:v>
                </c:pt>
                <c:pt idx="25">
                  <c:v>215563821.94999999</c:v>
                </c:pt>
                <c:pt idx="26">
                  <c:v>203947084.25</c:v>
                </c:pt>
                <c:pt idx="27">
                  <c:v>202853055.55000001</c:v>
                </c:pt>
                <c:pt idx="28">
                  <c:v>201889644.94999999</c:v>
                </c:pt>
                <c:pt idx="29">
                  <c:v>201004645.34999999</c:v>
                </c:pt>
                <c:pt idx="30">
                  <c:v>199300716.65000001</c:v>
                </c:pt>
                <c:pt idx="31">
                  <c:v>199335895.84999999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B-4A64-966F-19ECBC3A9809}"/>
            </c:ext>
          </c:extLst>
        </c:ser>
        <c:ser>
          <c:idx val="1"/>
          <c:order val="1"/>
          <c:tx>
            <c:strRef>
              <c:f>'Total Energy'!$B$175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Energy'!$C$175:$AH$175</c:f>
              <c:numCache>
                <c:formatCode>General</c:formatCode>
                <c:ptCount val="32"/>
                <c:pt idx="0">
                  <c:v>363857100</c:v>
                </c:pt>
                <c:pt idx="1">
                  <c:v>364100300</c:v>
                </c:pt>
                <c:pt idx="2">
                  <c:v>364100300</c:v>
                </c:pt>
                <c:pt idx="3">
                  <c:v>364100300</c:v>
                </c:pt>
                <c:pt idx="4">
                  <c:v>364100300</c:v>
                </c:pt>
                <c:pt idx="5">
                  <c:v>364100300</c:v>
                </c:pt>
                <c:pt idx="6">
                  <c:v>374913700</c:v>
                </c:pt>
                <c:pt idx="7">
                  <c:v>374913700</c:v>
                </c:pt>
                <c:pt idx="8">
                  <c:v>374913700</c:v>
                </c:pt>
                <c:pt idx="9">
                  <c:v>374913700</c:v>
                </c:pt>
                <c:pt idx="10">
                  <c:v>374913700</c:v>
                </c:pt>
                <c:pt idx="11">
                  <c:v>361308900</c:v>
                </c:pt>
                <c:pt idx="12">
                  <c:v>361308900</c:v>
                </c:pt>
                <c:pt idx="13">
                  <c:v>361308900</c:v>
                </c:pt>
                <c:pt idx="14">
                  <c:v>361308900</c:v>
                </c:pt>
                <c:pt idx="15">
                  <c:v>361308900</c:v>
                </c:pt>
                <c:pt idx="16">
                  <c:v>361308900</c:v>
                </c:pt>
                <c:pt idx="17">
                  <c:v>361308900</c:v>
                </c:pt>
                <c:pt idx="18">
                  <c:v>361308900</c:v>
                </c:pt>
                <c:pt idx="19">
                  <c:v>361308900</c:v>
                </c:pt>
                <c:pt idx="20">
                  <c:v>361308900</c:v>
                </c:pt>
                <c:pt idx="21">
                  <c:v>361308900</c:v>
                </c:pt>
                <c:pt idx="22">
                  <c:v>361308900</c:v>
                </c:pt>
                <c:pt idx="23">
                  <c:v>361308900</c:v>
                </c:pt>
                <c:pt idx="24">
                  <c:v>361308900</c:v>
                </c:pt>
                <c:pt idx="25">
                  <c:v>361308900</c:v>
                </c:pt>
                <c:pt idx="26">
                  <c:v>353505700</c:v>
                </c:pt>
                <c:pt idx="27">
                  <c:v>353505700</c:v>
                </c:pt>
                <c:pt idx="28">
                  <c:v>353505700</c:v>
                </c:pt>
                <c:pt idx="29">
                  <c:v>353505700</c:v>
                </c:pt>
                <c:pt idx="30">
                  <c:v>353505700</c:v>
                </c:pt>
                <c:pt idx="31">
                  <c:v>353505700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B-4A64-966F-19ECBC3A9809}"/>
            </c:ext>
          </c:extLst>
        </c:ser>
        <c:ser>
          <c:idx val="2"/>
          <c:order val="2"/>
          <c:tx>
            <c:strRef>
              <c:f>'Total Energy'!$B$164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Energy'!$C$164:$AH$164</c:f>
              <c:numCache>
                <c:formatCode>General</c:formatCode>
                <c:ptCount val="32"/>
                <c:pt idx="0">
                  <c:v>344926100</c:v>
                </c:pt>
                <c:pt idx="1">
                  <c:v>344177300</c:v>
                </c:pt>
                <c:pt idx="2">
                  <c:v>338589300</c:v>
                </c:pt>
                <c:pt idx="3">
                  <c:v>330297700</c:v>
                </c:pt>
                <c:pt idx="4">
                  <c:v>322639400</c:v>
                </c:pt>
                <c:pt idx="5">
                  <c:v>310511500</c:v>
                </c:pt>
                <c:pt idx="6">
                  <c:v>286185400</c:v>
                </c:pt>
                <c:pt idx="7">
                  <c:v>270122200</c:v>
                </c:pt>
                <c:pt idx="8">
                  <c:v>251464600</c:v>
                </c:pt>
                <c:pt idx="9">
                  <c:v>231359300</c:v>
                </c:pt>
                <c:pt idx="10">
                  <c:v>211558700</c:v>
                </c:pt>
                <c:pt idx="11">
                  <c:v>194451300</c:v>
                </c:pt>
                <c:pt idx="12">
                  <c:v>180186600</c:v>
                </c:pt>
                <c:pt idx="13">
                  <c:v>168117400</c:v>
                </c:pt>
                <c:pt idx="14">
                  <c:v>157210900</c:v>
                </c:pt>
                <c:pt idx="15">
                  <c:v>144151800</c:v>
                </c:pt>
                <c:pt idx="16">
                  <c:v>133588800</c:v>
                </c:pt>
                <c:pt idx="17">
                  <c:v>122256000</c:v>
                </c:pt>
                <c:pt idx="18">
                  <c:v>110704200</c:v>
                </c:pt>
                <c:pt idx="19">
                  <c:v>99540440</c:v>
                </c:pt>
                <c:pt idx="20">
                  <c:v>90457900</c:v>
                </c:pt>
                <c:pt idx="21">
                  <c:v>82176810</c:v>
                </c:pt>
                <c:pt idx="22">
                  <c:v>74209070</c:v>
                </c:pt>
                <c:pt idx="23">
                  <c:v>66933190</c:v>
                </c:pt>
                <c:pt idx="24">
                  <c:v>60555390</c:v>
                </c:pt>
                <c:pt idx="25">
                  <c:v>55121180</c:v>
                </c:pt>
                <c:pt idx="26">
                  <c:v>50564190</c:v>
                </c:pt>
                <c:pt idx="27">
                  <c:v>46818010</c:v>
                </c:pt>
                <c:pt idx="28">
                  <c:v>43785490</c:v>
                </c:pt>
                <c:pt idx="29">
                  <c:v>41355860</c:v>
                </c:pt>
                <c:pt idx="30">
                  <c:v>39395920</c:v>
                </c:pt>
                <c:pt idx="31">
                  <c:v>37755550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B-4A64-966F-19ECBC3A9809}"/>
            </c:ext>
          </c:extLst>
        </c:ser>
        <c:ser>
          <c:idx val="3"/>
          <c:order val="3"/>
          <c:tx>
            <c:strRef>
              <c:f>'Total Energy'!$B$166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Energy'!$C$166:$AH$166</c:f>
              <c:numCache>
                <c:formatCode>General</c:formatCode>
                <c:ptCount val="32"/>
                <c:pt idx="0">
                  <c:v>321326760.80000001</c:v>
                </c:pt>
                <c:pt idx="1">
                  <c:v>322365334.69999999</c:v>
                </c:pt>
                <c:pt idx="2">
                  <c:v>324513352</c:v>
                </c:pt>
                <c:pt idx="3">
                  <c:v>327096188.30000001</c:v>
                </c:pt>
                <c:pt idx="4">
                  <c:v>329897842.80000001</c:v>
                </c:pt>
                <c:pt idx="5">
                  <c:v>331130866.39999998</c:v>
                </c:pt>
                <c:pt idx="6">
                  <c:v>332886985.19999999</c:v>
                </c:pt>
                <c:pt idx="7">
                  <c:v>333584886.69999999</c:v>
                </c:pt>
                <c:pt idx="8">
                  <c:v>335254791.5</c:v>
                </c:pt>
                <c:pt idx="9">
                  <c:v>337867855.5</c:v>
                </c:pt>
                <c:pt idx="10">
                  <c:v>341265621</c:v>
                </c:pt>
                <c:pt idx="11">
                  <c:v>345675301.5</c:v>
                </c:pt>
                <c:pt idx="12">
                  <c:v>349040965.80000001</c:v>
                </c:pt>
                <c:pt idx="13">
                  <c:v>352328813.30000001</c:v>
                </c:pt>
                <c:pt idx="14">
                  <c:v>355672386</c:v>
                </c:pt>
                <c:pt idx="15">
                  <c:v>359177133.89999998</c:v>
                </c:pt>
                <c:pt idx="16">
                  <c:v>363349710.80000001</c:v>
                </c:pt>
                <c:pt idx="17">
                  <c:v>367275385.39999998</c:v>
                </c:pt>
                <c:pt idx="18">
                  <c:v>371330141.5</c:v>
                </c:pt>
                <c:pt idx="19">
                  <c:v>375218080.89999998</c:v>
                </c:pt>
                <c:pt idx="20">
                  <c:v>378399144.69999999</c:v>
                </c:pt>
                <c:pt idx="21">
                  <c:v>382133874.10000002</c:v>
                </c:pt>
                <c:pt idx="22">
                  <c:v>385137979.30000001</c:v>
                </c:pt>
                <c:pt idx="23">
                  <c:v>387705912.39999998</c:v>
                </c:pt>
                <c:pt idx="24">
                  <c:v>389752790.30000001</c:v>
                </c:pt>
                <c:pt idx="25">
                  <c:v>390813587.19999999</c:v>
                </c:pt>
                <c:pt idx="26">
                  <c:v>392449331.19999999</c:v>
                </c:pt>
                <c:pt idx="27">
                  <c:v>393185367.19999999</c:v>
                </c:pt>
                <c:pt idx="28">
                  <c:v>393637148</c:v>
                </c:pt>
                <c:pt idx="29">
                  <c:v>393869751.80000001</c:v>
                </c:pt>
                <c:pt idx="30">
                  <c:v>393452969.19999999</c:v>
                </c:pt>
                <c:pt idx="31">
                  <c:v>393899371.19999999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3B-4A64-966F-19ECBC3A9809}"/>
            </c:ext>
          </c:extLst>
        </c:ser>
        <c:ser>
          <c:idx val="4"/>
          <c:order val="4"/>
          <c:tx>
            <c:strRef>
              <c:f>'Total Energy'!$B$162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Energy'!$C$162:$AH$162</c:f>
              <c:numCache>
                <c:formatCode>General</c:formatCode>
                <c:ptCount val="32"/>
                <c:pt idx="0">
                  <c:v>216163500</c:v>
                </c:pt>
                <c:pt idx="1">
                  <c:v>207066200</c:v>
                </c:pt>
                <c:pt idx="2">
                  <c:v>202721200</c:v>
                </c:pt>
                <c:pt idx="3">
                  <c:v>197880300</c:v>
                </c:pt>
                <c:pt idx="4">
                  <c:v>193358300</c:v>
                </c:pt>
                <c:pt idx="5">
                  <c:v>188592700</c:v>
                </c:pt>
                <c:pt idx="6">
                  <c:v>184453800</c:v>
                </c:pt>
                <c:pt idx="7">
                  <c:v>179221300</c:v>
                </c:pt>
                <c:pt idx="8">
                  <c:v>174217600</c:v>
                </c:pt>
                <c:pt idx="9">
                  <c:v>169194600</c:v>
                </c:pt>
                <c:pt idx="10">
                  <c:v>164180800</c:v>
                </c:pt>
                <c:pt idx="11">
                  <c:v>159409300</c:v>
                </c:pt>
                <c:pt idx="12">
                  <c:v>154794900</c:v>
                </c:pt>
                <c:pt idx="13">
                  <c:v>150435600</c:v>
                </c:pt>
                <c:pt idx="14">
                  <c:v>146123500</c:v>
                </c:pt>
                <c:pt idx="15">
                  <c:v>141636200</c:v>
                </c:pt>
                <c:pt idx="16">
                  <c:v>137515000</c:v>
                </c:pt>
                <c:pt idx="17">
                  <c:v>133355700</c:v>
                </c:pt>
                <c:pt idx="18">
                  <c:v>129218600</c:v>
                </c:pt>
                <c:pt idx="19">
                  <c:v>125166600</c:v>
                </c:pt>
                <c:pt idx="20">
                  <c:v>122959400</c:v>
                </c:pt>
                <c:pt idx="21">
                  <c:v>120857200</c:v>
                </c:pt>
                <c:pt idx="22">
                  <c:v>118777500</c:v>
                </c:pt>
                <c:pt idx="23">
                  <c:v>116787000</c:v>
                </c:pt>
                <c:pt idx="24">
                  <c:v>114906600</c:v>
                </c:pt>
                <c:pt idx="25">
                  <c:v>113138500</c:v>
                </c:pt>
                <c:pt idx="26">
                  <c:v>111472300</c:v>
                </c:pt>
                <c:pt idx="27">
                  <c:v>109912700</c:v>
                </c:pt>
                <c:pt idx="28">
                  <c:v>108431600</c:v>
                </c:pt>
                <c:pt idx="29">
                  <c:v>107015400</c:v>
                </c:pt>
                <c:pt idx="30">
                  <c:v>105648600</c:v>
                </c:pt>
                <c:pt idx="31">
                  <c:v>104313400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3B-4A64-966F-19ECBC3A9809}"/>
            </c:ext>
          </c:extLst>
        </c:ser>
        <c:ser>
          <c:idx val="5"/>
          <c:order val="5"/>
          <c:tx>
            <c:strRef>
              <c:f>'Total Energy'!$B$177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Energy'!$C$177:$AH$177</c:f>
              <c:numCache>
                <c:formatCode>General</c:formatCode>
                <c:ptCount val="32"/>
                <c:pt idx="0">
                  <c:v>125996294</c:v>
                </c:pt>
                <c:pt idx="1">
                  <c:v>126012722</c:v>
                </c:pt>
                <c:pt idx="2">
                  <c:v>125936447</c:v>
                </c:pt>
                <c:pt idx="3">
                  <c:v>125829619</c:v>
                </c:pt>
                <c:pt idx="4">
                  <c:v>125697437</c:v>
                </c:pt>
                <c:pt idx="5">
                  <c:v>125551851</c:v>
                </c:pt>
                <c:pt idx="6">
                  <c:v>126451974</c:v>
                </c:pt>
                <c:pt idx="7">
                  <c:v>126313126</c:v>
                </c:pt>
                <c:pt idx="8">
                  <c:v>126164708</c:v>
                </c:pt>
                <c:pt idx="9">
                  <c:v>125995509</c:v>
                </c:pt>
                <c:pt idx="10">
                  <c:v>125792939</c:v>
                </c:pt>
                <c:pt idx="11">
                  <c:v>124340852</c:v>
                </c:pt>
                <c:pt idx="12">
                  <c:v>124097963</c:v>
                </c:pt>
                <c:pt idx="13">
                  <c:v>123827717</c:v>
                </c:pt>
                <c:pt idx="14">
                  <c:v>123545310</c:v>
                </c:pt>
                <c:pt idx="15">
                  <c:v>123266364</c:v>
                </c:pt>
                <c:pt idx="16">
                  <c:v>123026739</c:v>
                </c:pt>
                <c:pt idx="17">
                  <c:v>122886820</c:v>
                </c:pt>
                <c:pt idx="18">
                  <c:v>122790792</c:v>
                </c:pt>
                <c:pt idx="19">
                  <c:v>122735481</c:v>
                </c:pt>
                <c:pt idx="20">
                  <c:v>122714667</c:v>
                </c:pt>
                <c:pt idx="21">
                  <c:v>122721350</c:v>
                </c:pt>
                <c:pt idx="22">
                  <c:v>122681790</c:v>
                </c:pt>
                <c:pt idx="23">
                  <c:v>122659575</c:v>
                </c:pt>
                <c:pt idx="24">
                  <c:v>122653764</c:v>
                </c:pt>
                <c:pt idx="25">
                  <c:v>122664748</c:v>
                </c:pt>
                <c:pt idx="26">
                  <c:v>121963079</c:v>
                </c:pt>
                <c:pt idx="27">
                  <c:v>121955868</c:v>
                </c:pt>
                <c:pt idx="28">
                  <c:v>121959409</c:v>
                </c:pt>
                <c:pt idx="29">
                  <c:v>121969514</c:v>
                </c:pt>
                <c:pt idx="30">
                  <c:v>121982827</c:v>
                </c:pt>
                <c:pt idx="31">
                  <c:v>121997504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3B-4A64-966F-19ECBC3A9809}"/>
            </c:ext>
          </c:extLst>
        </c:ser>
        <c:ser>
          <c:idx val="6"/>
          <c:order val="6"/>
          <c:tx>
            <c:strRef>
              <c:f>'Total Energy'!$B$170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Energy'!$C$170:$AH$170</c:f>
              <c:numCache>
                <c:formatCode>General</c:formatCode>
                <c:ptCount val="32"/>
                <c:pt idx="0">
                  <c:v>97427065.099999994</c:v>
                </c:pt>
                <c:pt idx="1">
                  <c:v>97160625.099999994</c:v>
                </c:pt>
                <c:pt idx="2">
                  <c:v>103065385.09999999</c:v>
                </c:pt>
                <c:pt idx="3">
                  <c:v>108593775.09999999</c:v>
                </c:pt>
                <c:pt idx="4">
                  <c:v>114035315.09999999</c:v>
                </c:pt>
                <c:pt idx="5">
                  <c:v>118756285.09999999</c:v>
                </c:pt>
                <c:pt idx="6">
                  <c:v>121590255.09999999</c:v>
                </c:pt>
                <c:pt idx="7">
                  <c:v>124943286.09999999</c:v>
                </c:pt>
                <c:pt idx="8">
                  <c:v>127466428.09999999</c:v>
                </c:pt>
                <c:pt idx="9">
                  <c:v>129215269.09999999</c:v>
                </c:pt>
                <c:pt idx="10">
                  <c:v>130446390.09999999</c:v>
                </c:pt>
                <c:pt idx="11">
                  <c:v>131680512.09999999</c:v>
                </c:pt>
                <c:pt idx="12">
                  <c:v>133052911.09999999</c:v>
                </c:pt>
                <c:pt idx="13">
                  <c:v>134543571.09999999</c:v>
                </c:pt>
                <c:pt idx="14">
                  <c:v>135950011.09999999</c:v>
                </c:pt>
                <c:pt idx="15">
                  <c:v>136374491.09999999</c:v>
                </c:pt>
                <c:pt idx="16">
                  <c:v>137141750.09999999</c:v>
                </c:pt>
                <c:pt idx="17">
                  <c:v>137294015.09999999</c:v>
                </c:pt>
                <c:pt idx="18">
                  <c:v>136960920.09999999</c:v>
                </c:pt>
                <c:pt idx="19">
                  <c:v>136338275.09999999</c:v>
                </c:pt>
                <c:pt idx="20">
                  <c:v>132642190.09999999</c:v>
                </c:pt>
                <c:pt idx="21">
                  <c:v>129248295.09999999</c:v>
                </c:pt>
                <c:pt idx="22">
                  <c:v>125961541.09999999</c:v>
                </c:pt>
                <c:pt idx="23">
                  <c:v>122935277.09999999</c:v>
                </c:pt>
                <c:pt idx="24">
                  <c:v>120245553.09999999</c:v>
                </c:pt>
                <c:pt idx="25">
                  <c:v>117908519.09999999</c:v>
                </c:pt>
                <c:pt idx="26">
                  <c:v>115898625.09999999</c:v>
                </c:pt>
                <c:pt idx="27">
                  <c:v>114190309.09999999</c:v>
                </c:pt>
                <c:pt idx="28">
                  <c:v>112746904.09999999</c:v>
                </c:pt>
                <c:pt idx="29">
                  <c:v>111526948.09999999</c:v>
                </c:pt>
                <c:pt idx="30">
                  <c:v>110480702.09999999</c:v>
                </c:pt>
                <c:pt idx="31">
                  <c:v>109552117.09999999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3B-4A64-966F-19ECBC3A9809}"/>
            </c:ext>
          </c:extLst>
        </c:ser>
        <c:ser>
          <c:idx val="7"/>
          <c:order val="7"/>
          <c:tx>
            <c:strRef>
              <c:f>'Total Energy'!$B$163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Energy'!$C$163:$AH$163</c:f>
              <c:numCache>
                <c:formatCode>General</c:formatCode>
                <c:ptCount val="32"/>
                <c:pt idx="0">
                  <c:v>93733824.84300001</c:v>
                </c:pt>
                <c:pt idx="1">
                  <c:v>93716900.101000011</c:v>
                </c:pt>
                <c:pt idx="2">
                  <c:v>93666302.126000002</c:v>
                </c:pt>
                <c:pt idx="3">
                  <c:v>93616502.893000007</c:v>
                </c:pt>
                <c:pt idx="4">
                  <c:v>93553882.578000009</c:v>
                </c:pt>
                <c:pt idx="5">
                  <c:v>93479664.601000011</c:v>
                </c:pt>
                <c:pt idx="6">
                  <c:v>93470429.045999989</c:v>
                </c:pt>
                <c:pt idx="7">
                  <c:v>93421667.674999997</c:v>
                </c:pt>
                <c:pt idx="8">
                  <c:v>93363405.395999998</c:v>
                </c:pt>
                <c:pt idx="9">
                  <c:v>93288100.689999998</c:v>
                </c:pt>
                <c:pt idx="10">
                  <c:v>93188248.715999991</c:v>
                </c:pt>
                <c:pt idx="11">
                  <c:v>92918826.334000006</c:v>
                </c:pt>
                <c:pt idx="12">
                  <c:v>92824470.897799999</c:v>
                </c:pt>
                <c:pt idx="13">
                  <c:v>92713540.894199997</c:v>
                </c:pt>
                <c:pt idx="14">
                  <c:v>92597851.006300002</c:v>
                </c:pt>
                <c:pt idx="15">
                  <c:v>92489233.986709997</c:v>
                </c:pt>
                <c:pt idx="16">
                  <c:v>92407256.392590001</c:v>
                </c:pt>
                <c:pt idx="17">
                  <c:v>92426773.215560004</c:v>
                </c:pt>
                <c:pt idx="18">
                  <c:v>92472722.729200006</c:v>
                </c:pt>
                <c:pt idx="19">
                  <c:v>92543361.181759998</c:v>
                </c:pt>
                <c:pt idx="20">
                  <c:v>92635411.982079998</c:v>
                </c:pt>
                <c:pt idx="21">
                  <c:v>92745192.157200009</c:v>
                </c:pt>
                <c:pt idx="22">
                  <c:v>92778100.324129999</c:v>
                </c:pt>
                <c:pt idx="23">
                  <c:v>92823375.37030001</c:v>
                </c:pt>
                <c:pt idx="24">
                  <c:v>92880543.012370005</c:v>
                </c:pt>
                <c:pt idx="25">
                  <c:v>92949510.530290008</c:v>
                </c:pt>
                <c:pt idx="26">
                  <c:v>92972681.918200001</c:v>
                </c:pt>
                <c:pt idx="27">
                  <c:v>92995053.79682</c:v>
                </c:pt>
                <c:pt idx="28">
                  <c:v>93023913.360919997</c:v>
                </c:pt>
                <c:pt idx="29">
                  <c:v>93056536.82051</c:v>
                </c:pt>
                <c:pt idx="30">
                  <c:v>93090910.502759993</c:v>
                </c:pt>
                <c:pt idx="31">
                  <c:v>93126053.589179993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3B-4A64-966F-19ECBC3A9809}"/>
            </c:ext>
          </c:extLst>
        </c:ser>
        <c:ser>
          <c:idx val="8"/>
          <c:order val="8"/>
          <c:tx>
            <c:strRef>
              <c:f>'Total Energy'!$B$161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Energy'!$C$161:$AH$161</c:f>
              <c:numCache>
                <c:formatCode>General</c:formatCode>
                <c:ptCount val="32"/>
                <c:pt idx="0">
                  <c:v>67364420</c:v>
                </c:pt>
                <c:pt idx="1">
                  <c:v>66743197</c:v>
                </c:pt>
                <c:pt idx="2">
                  <c:v>66743197</c:v>
                </c:pt>
                <c:pt idx="3">
                  <c:v>66743197</c:v>
                </c:pt>
                <c:pt idx="4">
                  <c:v>66743197</c:v>
                </c:pt>
                <c:pt idx="5">
                  <c:v>66743197</c:v>
                </c:pt>
                <c:pt idx="6">
                  <c:v>4843626</c:v>
                </c:pt>
                <c:pt idx="7">
                  <c:v>4844461</c:v>
                </c:pt>
                <c:pt idx="8">
                  <c:v>4845297</c:v>
                </c:pt>
                <c:pt idx="9">
                  <c:v>4846132</c:v>
                </c:pt>
                <c:pt idx="10">
                  <c:v>4846967</c:v>
                </c:pt>
                <c:pt idx="11">
                  <c:v>4826794</c:v>
                </c:pt>
                <c:pt idx="12">
                  <c:v>4828743</c:v>
                </c:pt>
                <c:pt idx="13">
                  <c:v>4830692</c:v>
                </c:pt>
                <c:pt idx="14">
                  <c:v>4832642</c:v>
                </c:pt>
                <c:pt idx="15">
                  <c:v>4834591</c:v>
                </c:pt>
                <c:pt idx="16">
                  <c:v>4836540</c:v>
                </c:pt>
                <c:pt idx="17">
                  <c:v>4839673</c:v>
                </c:pt>
                <c:pt idx="18">
                  <c:v>4842805</c:v>
                </c:pt>
                <c:pt idx="19">
                  <c:v>4845938</c:v>
                </c:pt>
                <c:pt idx="20">
                  <c:v>4849071</c:v>
                </c:pt>
                <c:pt idx="21">
                  <c:v>4852203</c:v>
                </c:pt>
                <c:pt idx="22">
                  <c:v>4853909</c:v>
                </c:pt>
                <c:pt idx="23">
                  <c:v>4855615</c:v>
                </c:pt>
                <c:pt idx="24">
                  <c:v>4857320</c:v>
                </c:pt>
                <c:pt idx="25">
                  <c:v>4859026</c:v>
                </c:pt>
                <c:pt idx="26">
                  <c:v>4845128</c:v>
                </c:pt>
                <c:pt idx="27">
                  <c:v>4845790</c:v>
                </c:pt>
                <c:pt idx="28">
                  <c:v>4846451</c:v>
                </c:pt>
                <c:pt idx="29">
                  <c:v>4847112</c:v>
                </c:pt>
                <c:pt idx="30">
                  <c:v>4847774</c:v>
                </c:pt>
                <c:pt idx="31">
                  <c:v>4848435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3B-4A64-966F-19ECBC3A9809}"/>
            </c:ext>
          </c:extLst>
        </c:ser>
        <c:ser>
          <c:idx val="9"/>
          <c:order val="9"/>
          <c:tx>
            <c:strRef>
              <c:f>'Total Energy'!$B$174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Energy'!$C$174:$AH$174</c:f>
              <c:numCache>
                <c:formatCode>General</c:formatCode>
                <c:ptCount val="32"/>
                <c:pt idx="0">
                  <c:v>62627730</c:v>
                </c:pt>
                <c:pt idx="1">
                  <c:v>62679880</c:v>
                </c:pt>
                <c:pt idx="2">
                  <c:v>62679890</c:v>
                </c:pt>
                <c:pt idx="3">
                  <c:v>62679880</c:v>
                </c:pt>
                <c:pt idx="4">
                  <c:v>62679890</c:v>
                </c:pt>
                <c:pt idx="5">
                  <c:v>62679890</c:v>
                </c:pt>
                <c:pt idx="6">
                  <c:v>64278340</c:v>
                </c:pt>
                <c:pt idx="7">
                  <c:v>64278340</c:v>
                </c:pt>
                <c:pt idx="8">
                  <c:v>64278340</c:v>
                </c:pt>
                <c:pt idx="9">
                  <c:v>64278340</c:v>
                </c:pt>
                <c:pt idx="10">
                  <c:v>64278340</c:v>
                </c:pt>
                <c:pt idx="11">
                  <c:v>62937160</c:v>
                </c:pt>
                <c:pt idx="12">
                  <c:v>62937150</c:v>
                </c:pt>
                <c:pt idx="13">
                  <c:v>62937150</c:v>
                </c:pt>
                <c:pt idx="14">
                  <c:v>62937150</c:v>
                </c:pt>
                <c:pt idx="15">
                  <c:v>62937150</c:v>
                </c:pt>
                <c:pt idx="16">
                  <c:v>62937150</c:v>
                </c:pt>
                <c:pt idx="17">
                  <c:v>62937150</c:v>
                </c:pt>
                <c:pt idx="18">
                  <c:v>62937150</c:v>
                </c:pt>
                <c:pt idx="19">
                  <c:v>62937160</c:v>
                </c:pt>
                <c:pt idx="20">
                  <c:v>62937150</c:v>
                </c:pt>
                <c:pt idx="21">
                  <c:v>62937150</c:v>
                </c:pt>
                <c:pt idx="22">
                  <c:v>62937160</c:v>
                </c:pt>
                <c:pt idx="23">
                  <c:v>62937160</c:v>
                </c:pt>
                <c:pt idx="24">
                  <c:v>62937160</c:v>
                </c:pt>
                <c:pt idx="25">
                  <c:v>62937150</c:v>
                </c:pt>
                <c:pt idx="26">
                  <c:v>61941140</c:v>
                </c:pt>
                <c:pt idx="27">
                  <c:v>61941140</c:v>
                </c:pt>
                <c:pt idx="28">
                  <c:v>61941140</c:v>
                </c:pt>
                <c:pt idx="29">
                  <c:v>61941140</c:v>
                </c:pt>
                <c:pt idx="30">
                  <c:v>61941140</c:v>
                </c:pt>
                <c:pt idx="31">
                  <c:v>61941140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3B-4A64-966F-19ECBC3A9809}"/>
            </c:ext>
          </c:extLst>
        </c:ser>
        <c:ser>
          <c:idx val="10"/>
          <c:order val="10"/>
          <c:tx>
            <c:strRef>
              <c:f>'Total Energy'!$B$160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Energy'!$C$160:$AH$160</c:f>
              <c:numCache>
                <c:formatCode>General</c:formatCode>
                <c:ptCount val="32"/>
                <c:pt idx="0">
                  <c:v>52357190</c:v>
                </c:pt>
                <c:pt idx="1">
                  <c:v>52357190</c:v>
                </c:pt>
                <c:pt idx="2">
                  <c:v>52357190</c:v>
                </c:pt>
                <c:pt idx="3">
                  <c:v>52357190</c:v>
                </c:pt>
                <c:pt idx="4">
                  <c:v>52357190</c:v>
                </c:pt>
                <c:pt idx="5">
                  <c:v>52357190</c:v>
                </c:pt>
                <c:pt idx="6">
                  <c:v>52357190</c:v>
                </c:pt>
                <c:pt idx="7">
                  <c:v>52357190</c:v>
                </c:pt>
                <c:pt idx="8">
                  <c:v>52357190</c:v>
                </c:pt>
                <c:pt idx="9">
                  <c:v>52357190</c:v>
                </c:pt>
                <c:pt idx="10">
                  <c:v>52357190</c:v>
                </c:pt>
                <c:pt idx="11">
                  <c:v>52357190</c:v>
                </c:pt>
                <c:pt idx="12">
                  <c:v>52357190</c:v>
                </c:pt>
                <c:pt idx="13">
                  <c:v>52357190</c:v>
                </c:pt>
                <c:pt idx="14">
                  <c:v>52357190</c:v>
                </c:pt>
                <c:pt idx="15">
                  <c:v>52357190</c:v>
                </c:pt>
                <c:pt idx="16">
                  <c:v>52357190</c:v>
                </c:pt>
                <c:pt idx="17">
                  <c:v>52357190</c:v>
                </c:pt>
                <c:pt idx="18">
                  <c:v>52357190</c:v>
                </c:pt>
                <c:pt idx="19">
                  <c:v>52357190</c:v>
                </c:pt>
                <c:pt idx="20">
                  <c:v>52357190</c:v>
                </c:pt>
                <c:pt idx="21">
                  <c:v>52357190</c:v>
                </c:pt>
                <c:pt idx="22">
                  <c:v>52357190</c:v>
                </c:pt>
                <c:pt idx="23">
                  <c:v>52357190</c:v>
                </c:pt>
                <c:pt idx="24">
                  <c:v>52357190</c:v>
                </c:pt>
                <c:pt idx="25">
                  <c:v>52357190</c:v>
                </c:pt>
                <c:pt idx="26">
                  <c:v>52357190</c:v>
                </c:pt>
                <c:pt idx="27">
                  <c:v>52357190</c:v>
                </c:pt>
                <c:pt idx="28">
                  <c:v>52357190</c:v>
                </c:pt>
                <c:pt idx="29">
                  <c:v>52357190</c:v>
                </c:pt>
                <c:pt idx="30">
                  <c:v>52357190</c:v>
                </c:pt>
                <c:pt idx="31">
                  <c:v>52357190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3B-4A64-966F-19ECBC3A9809}"/>
            </c:ext>
          </c:extLst>
        </c:ser>
        <c:ser>
          <c:idx val="11"/>
          <c:order val="11"/>
          <c:tx>
            <c:strRef>
              <c:f>'Total Energy'!$B$176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Energy'!$C$176:$AH$176</c:f>
              <c:numCache>
                <c:formatCode>General</c:formatCode>
                <c:ptCount val="32"/>
                <c:pt idx="0">
                  <c:v>43192630</c:v>
                </c:pt>
                <c:pt idx="1">
                  <c:v>42283730</c:v>
                </c:pt>
                <c:pt idx="2">
                  <c:v>42283730</c:v>
                </c:pt>
                <c:pt idx="3">
                  <c:v>42283730</c:v>
                </c:pt>
                <c:pt idx="4">
                  <c:v>42283730</c:v>
                </c:pt>
                <c:pt idx="5">
                  <c:v>42283730</c:v>
                </c:pt>
                <c:pt idx="6">
                  <c:v>43310320</c:v>
                </c:pt>
                <c:pt idx="7">
                  <c:v>43310320</c:v>
                </c:pt>
                <c:pt idx="8">
                  <c:v>43310320</c:v>
                </c:pt>
                <c:pt idx="9">
                  <c:v>43310320</c:v>
                </c:pt>
                <c:pt idx="10">
                  <c:v>43310320</c:v>
                </c:pt>
                <c:pt idx="11">
                  <c:v>45191080</c:v>
                </c:pt>
                <c:pt idx="12">
                  <c:v>45191080</c:v>
                </c:pt>
                <c:pt idx="13">
                  <c:v>45191080</c:v>
                </c:pt>
                <c:pt idx="14">
                  <c:v>45191080</c:v>
                </c:pt>
                <c:pt idx="15">
                  <c:v>45191080</c:v>
                </c:pt>
                <c:pt idx="16">
                  <c:v>45191080</c:v>
                </c:pt>
                <c:pt idx="17">
                  <c:v>45191080</c:v>
                </c:pt>
                <c:pt idx="18">
                  <c:v>45191080</c:v>
                </c:pt>
                <c:pt idx="19">
                  <c:v>45191080</c:v>
                </c:pt>
                <c:pt idx="20">
                  <c:v>45191080</c:v>
                </c:pt>
                <c:pt idx="21">
                  <c:v>45191080</c:v>
                </c:pt>
                <c:pt idx="22">
                  <c:v>45191080</c:v>
                </c:pt>
                <c:pt idx="23">
                  <c:v>45191080</c:v>
                </c:pt>
                <c:pt idx="24">
                  <c:v>45191080</c:v>
                </c:pt>
                <c:pt idx="25">
                  <c:v>45191080</c:v>
                </c:pt>
                <c:pt idx="26">
                  <c:v>45456160</c:v>
                </c:pt>
                <c:pt idx="27">
                  <c:v>45456160</c:v>
                </c:pt>
                <c:pt idx="28">
                  <c:v>45456160</c:v>
                </c:pt>
                <c:pt idx="29">
                  <c:v>45456160</c:v>
                </c:pt>
                <c:pt idx="30">
                  <c:v>45456160</c:v>
                </c:pt>
                <c:pt idx="31">
                  <c:v>45456160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3B-4A64-966F-19ECBC3A9809}"/>
            </c:ext>
          </c:extLst>
        </c:ser>
        <c:ser>
          <c:idx val="12"/>
          <c:order val="12"/>
          <c:tx>
            <c:strRef>
              <c:f>'Total Energy'!$B$165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Energy'!$C$165:$AH$165</c:f>
              <c:numCache>
                <c:formatCode>General</c:formatCode>
                <c:ptCount val="32"/>
                <c:pt idx="0">
                  <c:v>18826570</c:v>
                </c:pt>
                <c:pt idx="1">
                  <c:v>18861950</c:v>
                </c:pt>
                <c:pt idx="2">
                  <c:v>19490750</c:v>
                </c:pt>
                <c:pt idx="3">
                  <c:v>20872610</c:v>
                </c:pt>
                <c:pt idx="4">
                  <c:v>22810770</c:v>
                </c:pt>
                <c:pt idx="5">
                  <c:v>25048020</c:v>
                </c:pt>
                <c:pt idx="6">
                  <c:v>27311250</c:v>
                </c:pt>
                <c:pt idx="7">
                  <c:v>29617830</c:v>
                </c:pt>
                <c:pt idx="8">
                  <c:v>32093990</c:v>
                </c:pt>
                <c:pt idx="9">
                  <c:v>34961630</c:v>
                </c:pt>
                <c:pt idx="10">
                  <c:v>38450210</c:v>
                </c:pt>
                <c:pt idx="11">
                  <c:v>42514980</c:v>
                </c:pt>
                <c:pt idx="12">
                  <c:v>47228860</c:v>
                </c:pt>
                <c:pt idx="13">
                  <c:v>52360300</c:v>
                </c:pt>
                <c:pt idx="14">
                  <c:v>57548400</c:v>
                </c:pt>
                <c:pt idx="15">
                  <c:v>62433080</c:v>
                </c:pt>
                <c:pt idx="16">
                  <c:v>66542640</c:v>
                </c:pt>
                <c:pt idx="17">
                  <c:v>69801230</c:v>
                </c:pt>
                <c:pt idx="18">
                  <c:v>72288870</c:v>
                </c:pt>
                <c:pt idx="19">
                  <c:v>74083990</c:v>
                </c:pt>
                <c:pt idx="20">
                  <c:v>75301980</c:v>
                </c:pt>
                <c:pt idx="21">
                  <c:v>76089320</c:v>
                </c:pt>
                <c:pt idx="22">
                  <c:v>76504840</c:v>
                </c:pt>
                <c:pt idx="23">
                  <c:v>76642450</c:v>
                </c:pt>
                <c:pt idx="24">
                  <c:v>76524450</c:v>
                </c:pt>
                <c:pt idx="25">
                  <c:v>76153930</c:v>
                </c:pt>
                <c:pt idx="26">
                  <c:v>75569460</c:v>
                </c:pt>
                <c:pt idx="27">
                  <c:v>74778970</c:v>
                </c:pt>
                <c:pt idx="28">
                  <c:v>73854540</c:v>
                </c:pt>
                <c:pt idx="29">
                  <c:v>72854660</c:v>
                </c:pt>
                <c:pt idx="30">
                  <c:v>71821280</c:v>
                </c:pt>
                <c:pt idx="31">
                  <c:v>70790150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D3B-4A64-966F-19ECBC3A9809}"/>
            </c:ext>
          </c:extLst>
        </c:ser>
        <c:ser>
          <c:idx val="13"/>
          <c:order val="13"/>
          <c:tx>
            <c:strRef>
              <c:f>'Total Energy'!$B$171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Energy'!$C$171:$AH$171</c:f>
              <c:numCache>
                <c:formatCode>General</c:formatCode>
                <c:ptCount val="32"/>
                <c:pt idx="0">
                  <c:v>11547872.9618</c:v>
                </c:pt>
                <c:pt idx="1">
                  <c:v>11537872.561799999</c:v>
                </c:pt>
                <c:pt idx="2">
                  <c:v>11514233.3618</c:v>
                </c:pt>
                <c:pt idx="3">
                  <c:v>11476667.9618</c:v>
                </c:pt>
                <c:pt idx="4">
                  <c:v>11425214.161800001</c:v>
                </c:pt>
                <c:pt idx="5">
                  <c:v>11291282.161800001</c:v>
                </c:pt>
                <c:pt idx="6">
                  <c:v>11192954.661800001</c:v>
                </c:pt>
                <c:pt idx="7">
                  <c:v>11041989.661800001</c:v>
                </c:pt>
                <c:pt idx="8">
                  <c:v>10886936.161800001</c:v>
                </c:pt>
                <c:pt idx="9">
                  <c:v>10722631.161800001</c:v>
                </c:pt>
                <c:pt idx="10">
                  <c:v>10507790.661800001</c:v>
                </c:pt>
                <c:pt idx="11">
                  <c:v>10298369.4618</c:v>
                </c:pt>
                <c:pt idx="12">
                  <c:v>10041560.8618</c:v>
                </c:pt>
                <c:pt idx="13">
                  <c:v>9768360.6618000008</c:v>
                </c:pt>
                <c:pt idx="14">
                  <c:v>9489381.5618000012</c:v>
                </c:pt>
                <c:pt idx="15">
                  <c:v>9207842.4617999997</c:v>
                </c:pt>
                <c:pt idx="16">
                  <c:v>8998824.5617999993</c:v>
                </c:pt>
                <c:pt idx="17">
                  <c:v>8807820.2618000004</c:v>
                </c:pt>
                <c:pt idx="18">
                  <c:v>8643730.2618000004</c:v>
                </c:pt>
                <c:pt idx="19">
                  <c:v>8503350.1618000008</c:v>
                </c:pt>
                <c:pt idx="20">
                  <c:v>8372124.6617999999</c:v>
                </c:pt>
                <c:pt idx="21">
                  <c:v>8280836.5618000003</c:v>
                </c:pt>
                <c:pt idx="22">
                  <c:v>8189160.9617999997</c:v>
                </c:pt>
                <c:pt idx="23">
                  <c:v>8111135.8618000001</c:v>
                </c:pt>
                <c:pt idx="24">
                  <c:v>8046630.1617999999</c:v>
                </c:pt>
                <c:pt idx="25">
                  <c:v>7987556.9617999997</c:v>
                </c:pt>
                <c:pt idx="26">
                  <c:v>7957198.7618000004</c:v>
                </c:pt>
                <c:pt idx="27">
                  <c:v>7925197.6617999999</c:v>
                </c:pt>
                <c:pt idx="28">
                  <c:v>7900118.3618000001</c:v>
                </c:pt>
                <c:pt idx="29">
                  <c:v>7878899.9618000006</c:v>
                </c:pt>
                <c:pt idx="30">
                  <c:v>7851869.9617999997</c:v>
                </c:pt>
                <c:pt idx="31">
                  <c:v>7840794.6617999999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3B-4A64-966F-19ECBC3A9809}"/>
            </c:ext>
          </c:extLst>
        </c:ser>
        <c:ser>
          <c:idx val="14"/>
          <c:order val="14"/>
          <c:tx>
            <c:strRef>
              <c:f>'Total Energy'!$B$172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Energy'!$C$172:$AH$172</c:f>
              <c:numCache>
                <c:formatCode>General</c:formatCode>
                <c:ptCount val="32"/>
                <c:pt idx="0">
                  <c:v>2016918.442</c:v>
                </c:pt>
                <c:pt idx="1">
                  <c:v>2017239.172</c:v>
                </c:pt>
                <c:pt idx="2">
                  <c:v>2019239.605</c:v>
                </c:pt>
                <c:pt idx="3">
                  <c:v>2021240.0279999999</c:v>
                </c:pt>
                <c:pt idx="4">
                  <c:v>2023240.45</c:v>
                </c:pt>
                <c:pt idx="5">
                  <c:v>2025240.8840000001</c:v>
                </c:pt>
                <c:pt idx="6">
                  <c:v>2037073.0919999999</c:v>
                </c:pt>
                <c:pt idx="7">
                  <c:v>2039073.5220000001</c:v>
                </c:pt>
                <c:pt idx="8">
                  <c:v>2041073.942</c:v>
                </c:pt>
                <c:pt idx="9">
                  <c:v>2043074.4820000001</c:v>
                </c:pt>
                <c:pt idx="10">
                  <c:v>2045074.8119999999</c:v>
                </c:pt>
                <c:pt idx="11">
                  <c:v>1961137.0519999999</c:v>
                </c:pt>
                <c:pt idx="12">
                  <c:v>1963137.4620000001</c:v>
                </c:pt>
                <c:pt idx="13">
                  <c:v>1965137.892</c:v>
                </c:pt>
                <c:pt idx="14">
                  <c:v>1967138.3319999999</c:v>
                </c:pt>
                <c:pt idx="15">
                  <c:v>1969138.7520000001</c:v>
                </c:pt>
                <c:pt idx="16">
                  <c:v>1971139.172</c:v>
                </c:pt>
                <c:pt idx="17">
                  <c:v>1973139.612</c:v>
                </c:pt>
                <c:pt idx="18">
                  <c:v>1975140.0419999999</c:v>
                </c:pt>
                <c:pt idx="19">
                  <c:v>1977140.4720000001</c:v>
                </c:pt>
                <c:pt idx="20">
                  <c:v>1977140.4720000001</c:v>
                </c:pt>
                <c:pt idx="21">
                  <c:v>1977140.4720000001</c:v>
                </c:pt>
                <c:pt idx="22">
                  <c:v>1977140.4720000001</c:v>
                </c:pt>
                <c:pt idx="23">
                  <c:v>1977140.4720000001</c:v>
                </c:pt>
                <c:pt idx="24">
                  <c:v>1977140.4720000001</c:v>
                </c:pt>
                <c:pt idx="25">
                  <c:v>1977140.4620000001</c:v>
                </c:pt>
                <c:pt idx="26">
                  <c:v>1948169.7220000001</c:v>
                </c:pt>
                <c:pt idx="27">
                  <c:v>1948169.7220000001</c:v>
                </c:pt>
                <c:pt idx="28">
                  <c:v>1948169.7220000001</c:v>
                </c:pt>
                <c:pt idx="29">
                  <c:v>1948169.8319999999</c:v>
                </c:pt>
                <c:pt idx="30">
                  <c:v>1948169.7220000001</c:v>
                </c:pt>
                <c:pt idx="31">
                  <c:v>1948169.7220000001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D3B-4A64-966F-19ECBC3A9809}"/>
            </c:ext>
          </c:extLst>
        </c:ser>
        <c:ser>
          <c:idx val="15"/>
          <c:order val="15"/>
          <c:tx>
            <c:strRef>
              <c:f>'Total Energy'!$B$168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Energy'!$C$168:$AH$168</c:f>
              <c:numCache>
                <c:formatCode>General</c:formatCode>
                <c:ptCount val="32"/>
                <c:pt idx="0">
                  <c:v>610090.47</c:v>
                </c:pt>
                <c:pt idx="1">
                  <c:v>610090.47199999995</c:v>
                </c:pt>
                <c:pt idx="2">
                  <c:v>610090.47600000002</c:v>
                </c:pt>
                <c:pt idx="3">
                  <c:v>610090.41799999995</c:v>
                </c:pt>
                <c:pt idx="4">
                  <c:v>610090.48499999999</c:v>
                </c:pt>
                <c:pt idx="5">
                  <c:v>610090.40599999996</c:v>
                </c:pt>
                <c:pt idx="6">
                  <c:v>610090.44999999995</c:v>
                </c:pt>
                <c:pt idx="7">
                  <c:v>610090.50600000005</c:v>
                </c:pt>
                <c:pt idx="8">
                  <c:v>610090.38899999997</c:v>
                </c:pt>
                <c:pt idx="9">
                  <c:v>610090.41800000006</c:v>
                </c:pt>
                <c:pt idx="10">
                  <c:v>610090.51399999997</c:v>
                </c:pt>
                <c:pt idx="11">
                  <c:v>610090.43000000005</c:v>
                </c:pt>
                <c:pt idx="12">
                  <c:v>610090.5</c:v>
                </c:pt>
                <c:pt idx="13">
                  <c:v>610090.48</c:v>
                </c:pt>
                <c:pt idx="14">
                  <c:v>610090.49099999992</c:v>
                </c:pt>
                <c:pt idx="15">
                  <c:v>610090.44099999999</c:v>
                </c:pt>
                <c:pt idx="16">
                  <c:v>610090.43700000003</c:v>
                </c:pt>
                <c:pt idx="17">
                  <c:v>610090.46900000004</c:v>
                </c:pt>
                <c:pt idx="18">
                  <c:v>610090.48100000003</c:v>
                </c:pt>
                <c:pt idx="19">
                  <c:v>610090.49199999997</c:v>
                </c:pt>
                <c:pt idx="20">
                  <c:v>610090.478</c:v>
                </c:pt>
                <c:pt idx="21">
                  <c:v>610090.47699999996</c:v>
                </c:pt>
                <c:pt idx="22">
                  <c:v>610090.429</c:v>
                </c:pt>
                <c:pt idx="23">
                  <c:v>610090.42200000002</c:v>
                </c:pt>
                <c:pt idx="24">
                  <c:v>610090.46</c:v>
                </c:pt>
                <c:pt idx="25">
                  <c:v>610090.48900000006</c:v>
                </c:pt>
                <c:pt idx="26">
                  <c:v>610090.48800000001</c:v>
                </c:pt>
                <c:pt idx="27">
                  <c:v>610090.44499999995</c:v>
                </c:pt>
                <c:pt idx="28">
                  <c:v>610090.43799999997</c:v>
                </c:pt>
                <c:pt idx="29">
                  <c:v>610090.4</c:v>
                </c:pt>
                <c:pt idx="30">
                  <c:v>610090.45799999998</c:v>
                </c:pt>
                <c:pt idx="31">
                  <c:v>610090.48100000003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D3B-4A64-966F-19ECBC3A9809}"/>
            </c:ext>
          </c:extLst>
        </c:ser>
        <c:ser>
          <c:idx val="16"/>
          <c:order val="16"/>
          <c:tx>
            <c:strRef>
              <c:f>'Total Energy'!$B$173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Energy'!$C$173:$AH$173</c:f>
              <c:numCache>
                <c:formatCode>General</c:formatCode>
                <c:ptCount val="32"/>
                <c:pt idx="0">
                  <c:v>441453.027</c:v>
                </c:pt>
                <c:pt idx="1">
                  <c:v>875420.12699999998</c:v>
                </c:pt>
                <c:pt idx="2">
                  <c:v>875420.12699999998</c:v>
                </c:pt>
                <c:pt idx="3">
                  <c:v>875420.027</c:v>
                </c:pt>
                <c:pt idx="4">
                  <c:v>875420.12699999998</c:v>
                </c:pt>
                <c:pt idx="5">
                  <c:v>875420.12699999998</c:v>
                </c:pt>
                <c:pt idx="6">
                  <c:v>890854.42700000003</c:v>
                </c:pt>
                <c:pt idx="7">
                  <c:v>890857.24600000004</c:v>
                </c:pt>
                <c:pt idx="8">
                  <c:v>890860.06400000001</c:v>
                </c:pt>
                <c:pt idx="9">
                  <c:v>890862.88199999998</c:v>
                </c:pt>
                <c:pt idx="10">
                  <c:v>890865.701</c:v>
                </c:pt>
                <c:pt idx="11">
                  <c:v>877918.3189999999</c:v>
                </c:pt>
                <c:pt idx="12">
                  <c:v>877924.89599999995</c:v>
                </c:pt>
                <c:pt idx="13">
                  <c:v>877931.47199999995</c:v>
                </c:pt>
                <c:pt idx="14">
                  <c:v>877938.04799999995</c:v>
                </c:pt>
                <c:pt idx="15">
                  <c:v>877944.625</c:v>
                </c:pt>
                <c:pt idx="16">
                  <c:v>877951.201</c:v>
                </c:pt>
                <c:pt idx="17">
                  <c:v>877961.7699999999</c:v>
                </c:pt>
                <c:pt idx="18">
                  <c:v>877972.33899999992</c:v>
                </c:pt>
                <c:pt idx="19">
                  <c:v>877982.90799999994</c:v>
                </c:pt>
                <c:pt idx="20">
                  <c:v>877993.478</c:v>
                </c:pt>
                <c:pt idx="21">
                  <c:v>878004.0469999999</c:v>
                </c:pt>
                <c:pt idx="22">
                  <c:v>878009.80099999998</c:v>
                </c:pt>
                <c:pt idx="23">
                  <c:v>878015.55499999993</c:v>
                </c:pt>
                <c:pt idx="24">
                  <c:v>878021.30999999994</c:v>
                </c:pt>
                <c:pt idx="25">
                  <c:v>878027.0639999999</c:v>
                </c:pt>
                <c:pt idx="26">
                  <c:v>868415.51800000004</c:v>
                </c:pt>
                <c:pt idx="27">
                  <c:v>868417.75</c:v>
                </c:pt>
                <c:pt idx="28">
                  <c:v>868419.98100000003</c:v>
                </c:pt>
                <c:pt idx="29">
                  <c:v>868422.21200000006</c:v>
                </c:pt>
                <c:pt idx="30">
                  <c:v>868424.44299999997</c:v>
                </c:pt>
                <c:pt idx="31">
                  <c:v>868426.67500000005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D3B-4A64-966F-19ECBC3A9809}"/>
            </c:ext>
          </c:extLst>
        </c:ser>
        <c:ser>
          <c:idx val="17"/>
          <c:order val="17"/>
          <c:tx>
            <c:strRef>
              <c:f>'Total Energy'!$B$167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Energy'!$C$167:$AH$167</c:f>
              <c:numCache>
                <c:formatCode>General</c:formatCode>
                <c:ptCount val="32"/>
                <c:pt idx="0">
                  <c:v>0</c:v>
                </c:pt>
                <c:pt idx="1">
                  <c:v>366293.1</c:v>
                </c:pt>
                <c:pt idx="2">
                  <c:v>931732.7</c:v>
                </c:pt>
                <c:pt idx="3">
                  <c:v>1484582</c:v>
                </c:pt>
                <c:pt idx="4">
                  <c:v>2024624</c:v>
                </c:pt>
                <c:pt idx="5">
                  <c:v>2551851</c:v>
                </c:pt>
                <c:pt idx="6">
                  <c:v>3188396.4</c:v>
                </c:pt>
                <c:pt idx="7">
                  <c:v>3679621</c:v>
                </c:pt>
                <c:pt idx="8">
                  <c:v>4156060.6</c:v>
                </c:pt>
                <c:pt idx="9">
                  <c:v>4626034.2</c:v>
                </c:pt>
                <c:pt idx="10">
                  <c:v>5092810.8</c:v>
                </c:pt>
                <c:pt idx="11">
                  <c:v>5560757.4000000004</c:v>
                </c:pt>
                <c:pt idx="12">
                  <c:v>6028034.4000000004</c:v>
                </c:pt>
                <c:pt idx="13">
                  <c:v>6500386.5</c:v>
                </c:pt>
                <c:pt idx="14">
                  <c:v>6978254.5</c:v>
                </c:pt>
                <c:pt idx="15">
                  <c:v>7461560.5999999996</c:v>
                </c:pt>
                <c:pt idx="16">
                  <c:v>7950214.5999999996</c:v>
                </c:pt>
                <c:pt idx="17">
                  <c:v>8444232.5999999996</c:v>
                </c:pt>
                <c:pt idx="18">
                  <c:v>8943981.5</c:v>
                </c:pt>
                <c:pt idx="19">
                  <c:v>9449684.5</c:v>
                </c:pt>
                <c:pt idx="20">
                  <c:v>9961388.5</c:v>
                </c:pt>
                <c:pt idx="21">
                  <c:v>10479045.4</c:v>
                </c:pt>
                <c:pt idx="22">
                  <c:v>10996473.9</c:v>
                </c:pt>
                <c:pt idx="23">
                  <c:v>11518692.300000001</c:v>
                </c:pt>
                <c:pt idx="24">
                  <c:v>12045390.699999999</c:v>
                </c:pt>
                <c:pt idx="25">
                  <c:v>12576059.1</c:v>
                </c:pt>
                <c:pt idx="26">
                  <c:v>13110207.5</c:v>
                </c:pt>
                <c:pt idx="27">
                  <c:v>13652208.9</c:v>
                </c:pt>
                <c:pt idx="28">
                  <c:v>14197290.4</c:v>
                </c:pt>
                <c:pt idx="29">
                  <c:v>14745261.800000001</c:v>
                </c:pt>
                <c:pt idx="30">
                  <c:v>15296053.199999999</c:v>
                </c:pt>
                <c:pt idx="31">
                  <c:v>15849624.6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D3B-4A64-966F-19ECBC3A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50001"/>
        <c:axId val="50550002"/>
      </c:areaChart>
      <c:catAx>
        <c:axId val="505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50002"/>
        <c:crosses val="autoZero"/>
        <c:auto val="1"/>
        <c:lblAlgn val="ctr"/>
        <c:lblOffset val="100"/>
        <c:tickLblSkip val="2"/>
        <c:noMultiLvlLbl val="0"/>
      </c:catAx>
      <c:valAx>
        <c:axId val="505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5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Energy'!$B$169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Energy'!$C$169,'Total Energy'!$AH$169)</c:f>
              <c:numCache>
                <c:formatCode>General</c:formatCode>
                <c:ptCount val="2"/>
                <c:pt idx="0">
                  <c:v>368529502.75</c:v>
                </c:pt>
                <c:pt idx="1">
                  <c:v>199335895.84999999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B-4050-B408-304FA84FAE0D}"/>
            </c:ext>
          </c:extLst>
        </c:ser>
        <c:ser>
          <c:idx val="1"/>
          <c:order val="1"/>
          <c:tx>
            <c:strRef>
              <c:f>'Total Energy'!$B$175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Energy'!$C$175,'Total Energy'!$AH$175)</c:f>
              <c:numCache>
                <c:formatCode>General</c:formatCode>
                <c:ptCount val="2"/>
                <c:pt idx="0">
                  <c:v>363857100</c:v>
                </c:pt>
                <c:pt idx="1">
                  <c:v>353505700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B-4050-B408-304FA84FAE0D}"/>
            </c:ext>
          </c:extLst>
        </c:ser>
        <c:ser>
          <c:idx val="2"/>
          <c:order val="2"/>
          <c:tx>
            <c:strRef>
              <c:f>'Total Energy'!$B$164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Energy'!$C$164,'Total Energy'!$AH$164)</c:f>
              <c:numCache>
                <c:formatCode>General</c:formatCode>
                <c:ptCount val="2"/>
                <c:pt idx="0">
                  <c:v>344926100</c:v>
                </c:pt>
                <c:pt idx="1">
                  <c:v>37755550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B-4050-B408-304FA84FAE0D}"/>
            </c:ext>
          </c:extLst>
        </c:ser>
        <c:ser>
          <c:idx val="3"/>
          <c:order val="3"/>
          <c:tx>
            <c:strRef>
              <c:f>'Total Energy'!$B$166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Energy'!$C$166,'Total Energy'!$AH$166)</c:f>
              <c:numCache>
                <c:formatCode>General</c:formatCode>
                <c:ptCount val="2"/>
                <c:pt idx="0">
                  <c:v>321326760.80000001</c:v>
                </c:pt>
                <c:pt idx="1">
                  <c:v>393899371.19999999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3B-4050-B408-304FA84FAE0D}"/>
            </c:ext>
          </c:extLst>
        </c:ser>
        <c:ser>
          <c:idx val="4"/>
          <c:order val="4"/>
          <c:tx>
            <c:strRef>
              <c:f>'Total Energy'!$B$162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Energy'!$C$162,'Total Energy'!$AH$162)</c:f>
              <c:numCache>
                <c:formatCode>General</c:formatCode>
                <c:ptCount val="2"/>
                <c:pt idx="0">
                  <c:v>216163500</c:v>
                </c:pt>
                <c:pt idx="1">
                  <c:v>104313400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B-4050-B408-304FA84FAE0D}"/>
            </c:ext>
          </c:extLst>
        </c:ser>
        <c:ser>
          <c:idx val="5"/>
          <c:order val="5"/>
          <c:tx>
            <c:strRef>
              <c:f>'Total Energy'!$B$177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Energy'!$C$177,'Total Energy'!$AH$177)</c:f>
              <c:numCache>
                <c:formatCode>General</c:formatCode>
                <c:ptCount val="2"/>
                <c:pt idx="0">
                  <c:v>125996294</c:v>
                </c:pt>
                <c:pt idx="1">
                  <c:v>121997504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3B-4050-B408-304FA84FAE0D}"/>
            </c:ext>
          </c:extLst>
        </c:ser>
        <c:ser>
          <c:idx val="6"/>
          <c:order val="6"/>
          <c:tx>
            <c:strRef>
              <c:f>'Total Energy'!$B$170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Energy'!$C$170,'Total Energy'!$AH$170)</c:f>
              <c:numCache>
                <c:formatCode>General</c:formatCode>
                <c:ptCount val="2"/>
                <c:pt idx="0">
                  <c:v>97427065.099999994</c:v>
                </c:pt>
                <c:pt idx="1">
                  <c:v>109552117.09999999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3B-4050-B408-304FA84FAE0D}"/>
            </c:ext>
          </c:extLst>
        </c:ser>
        <c:ser>
          <c:idx val="7"/>
          <c:order val="7"/>
          <c:tx>
            <c:strRef>
              <c:f>'Total Energy'!$B$163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Energy'!$C$163,'Total Energy'!$AH$163)</c:f>
              <c:numCache>
                <c:formatCode>General</c:formatCode>
                <c:ptCount val="2"/>
                <c:pt idx="0">
                  <c:v>93733824.84300001</c:v>
                </c:pt>
                <c:pt idx="1">
                  <c:v>93126053.589179993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3B-4050-B408-304FA84FAE0D}"/>
            </c:ext>
          </c:extLst>
        </c:ser>
        <c:ser>
          <c:idx val="8"/>
          <c:order val="8"/>
          <c:tx>
            <c:strRef>
              <c:f>'Total Energy'!$B$161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Energy'!$C$161,'Total Energy'!$AH$161)</c:f>
              <c:numCache>
                <c:formatCode>General</c:formatCode>
                <c:ptCount val="2"/>
                <c:pt idx="0">
                  <c:v>67364420</c:v>
                </c:pt>
                <c:pt idx="1">
                  <c:v>4848435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3B-4050-B408-304FA84FAE0D}"/>
            </c:ext>
          </c:extLst>
        </c:ser>
        <c:ser>
          <c:idx val="9"/>
          <c:order val="9"/>
          <c:tx>
            <c:strRef>
              <c:f>'Total Energy'!$B$174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Energy'!$C$174,'Total Energy'!$AH$174)</c:f>
              <c:numCache>
                <c:formatCode>General</c:formatCode>
                <c:ptCount val="2"/>
                <c:pt idx="0">
                  <c:v>62627730</c:v>
                </c:pt>
                <c:pt idx="1">
                  <c:v>61941140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3B-4050-B408-304FA84FAE0D}"/>
            </c:ext>
          </c:extLst>
        </c:ser>
        <c:ser>
          <c:idx val="10"/>
          <c:order val="10"/>
          <c:tx>
            <c:strRef>
              <c:f>'Total Energy'!$B$160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Energy'!$C$160,'Total Energy'!$AH$160)</c:f>
              <c:numCache>
                <c:formatCode>General</c:formatCode>
                <c:ptCount val="2"/>
                <c:pt idx="0">
                  <c:v>52357190</c:v>
                </c:pt>
                <c:pt idx="1">
                  <c:v>52357190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3B-4050-B408-304FA84FAE0D}"/>
            </c:ext>
          </c:extLst>
        </c:ser>
        <c:ser>
          <c:idx val="11"/>
          <c:order val="11"/>
          <c:tx>
            <c:strRef>
              <c:f>'Total Energy'!$B$176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Energy'!$C$176,'Total Energy'!$AH$176)</c:f>
              <c:numCache>
                <c:formatCode>General</c:formatCode>
                <c:ptCount val="2"/>
                <c:pt idx="0">
                  <c:v>43192630</c:v>
                </c:pt>
                <c:pt idx="1">
                  <c:v>45456160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3B-4050-B408-304FA84FAE0D}"/>
            </c:ext>
          </c:extLst>
        </c:ser>
        <c:ser>
          <c:idx val="12"/>
          <c:order val="12"/>
          <c:tx>
            <c:strRef>
              <c:f>'Total Energy'!$B$165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Energy'!$C$165,'Total Energy'!$AH$165)</c:f>
              <c:numCache>
                <c:formatCode>General</c:formatCode>
                <c:ptCount val="2"/>
                <c:pt idx="0">
                  <c:v>18826570</c:v>
                </c:pt>
                <c:pt idx="1">
                  <c:v>70790150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3B-4050-B408-304FA84FAE0D}"/>
            </c:ext>
          </c:extLst>
        </c:ser>
        <c:ser>
          <c:idx val="13"/>
          <c:order val="13"/>
          <c:tx>
            <c:strRef>
              <c:f>'Total Energy'!$B$171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Energy'!$C$171,'Total Energy'!$AH$171)</c:f>
              <c:numCache>
                <c:formatCode>General</c:formatCode>
                <c:ptCount val="2"/>
                <c:pt idx="0">
                  <c:v>11547872.9618</c:v>
                </c:pt>
                <c:pt idx="1">
                  <c:v>7840794.6617999999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43B-4050-B408-304FA84FAE0D}"/>
            </c:ext>
          </c:extLst>
        </c:ser>
        <c:ser>
          <c:idx val="14"/>
          <c:order val="14"/>
          <c:tx>
            <c:strRef>
              <c:f>'Total Energy'!$B$172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Energy'!$C$172,'Total Energy'!$AH$172)</c:f>
              <c:numCache>
                <c:formatCode>General</c:formatCode>
                <c:ptCount val="2"/>
                <c:pt idx="0">
                  <c:v>2016918.442</c:v>
                </c:pt>
                <c:pt idx="1">
                  <c:v>1948169.7220000001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3B-4050-B408-304FA84FAE0D}"/>
            </c:ext>
          </c:extLst>
        </c:ser>
        <c:ser>
          <c:idx val="15"/>
          <c:order val="15"/>
          <c:tx>
            <c:strRef>
              <c:f>'Total Energy'!$B$168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Energy'!$C$168,'Total Energy'!$AH$168)</c:f>
              <c:numCache>
                <c:formatCode>General</c:formatCode>
                <c:ptCount val="2"/>
                <c:pt idx="0">
                  <c:v>610090.47</c:v>
                </c:pt>
                <c:pt idx="1">
                  <c:v>610090.48100000003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43B-4050-B408-304FA84FAE0D}"/>
            </c:ext>
          </c:extLst>
        </c:ser>
        <c:ser>
          <c:idx val="16"/>
          <c:order val="16"/>
          <c:tx>
            <c:strRef>
              <c:f>'Total Energy'!$B$173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Energy'!$C$173,'Total Energy'!$AH$173)</c:f>
              <c:numCache>
                <c:formatCode>General</c:formatCode>
                <c:ptCount val="2"/>
                <c:pt idx="0">
                  <c:v>441453.027</c:v>
                </c:pt>
                <c:pt idx="1">
                  <c:v>868426.67500000005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43B-4050-B408-304FA84FAE0D}"/>
            </c:ext>
          </c:extLst>
        </c:ser>
        <c:ser>
          <c:idx val="17"/>
          <c:order val="17"/>
          <c:tx>
            <c:strRef>
              <c:f>'Total Energy'!$B$167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Energy'!$C$167,'Total Energy'!$AH$167)</c:f>
              <c:numCache>
                <c:formatCode>General</c:formatCode>
                <c:ptCount val="2"/>
                <c:pt idx="0">
                  <c:v>0</c:v>
                </c:pt>
                <c:pt idx="1">
                  <c:v>15849624.6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3B-4050-B408-304FA84F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60001"/>
        <c:axId val="50560002"/>
      </c:barChart>
      <c:catAx>
        <c:axId val="505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60002"/>
        <c:crosses val="autoZero"/>
        <c:auto val="1"/>
        <c:lblAlgn val="ctr"/>
        <c:lblOffset val="100"/>
        <c:noMultiLvlLbl val="0"/>
      </c:catAx>
      <c:valAx>
        <c:axId val="505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6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Energy'!$B$187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Energy'!$C$187:$AH$187</c:f>
              <c:numCache>
                <c:formatCode>General</c:formatCode>
                <c:ptCount val="32"/>
                <c:pt idx="0">
                  <c:v>368529502.75</c:v>
                </c:pt>
                <c:pt idx="1">
                  <c:v>368771180.75</c:v>
                </c:pt>
                <c:pt idx="2">
                  <c:v>369168242.85000002</c:v>
                </c:pt>
                <c:pt idx="3">
                  <c:v>369870445.85000002</c:v>
                </c:pt>
                <c:pt idx="4">
                  <c:v>370550434.75</c:v>
                </c:pt>
                <c:pt idx="5">
                  <c:v>371188406.85000002</c:v>
                </c:pt>
                <c:pt idx="6">
                  <c:v>371790148.75</c:v>
                </c:pt>
                <c:pt idx="7">
                  <c:v>371774196.94999999</c:v>
                </c:pt>
                <c:pt idx="8">
                  <c:v>371771772.85000002</c:v>
                </c:pt>
                <c:pt idx="9">
                  <c:v>371825181.94999999</c:v>
                </c:pt>
                <c:pt idx="10">
                  <c:v>371956874.94999999</c:v>
                </c:pt>
                <c:pt idx="11">
                  <c:v>372155035.14999998</c:v>
                </c:pt>
                <c:pt idx="12">
                  <c:v>372290864.14999998</c:v>
                </c:pt>
                <c:pt idx="13">
                  <c:v>372389715.35000002</c:v>
                </c:pt>
                <c:pt idx="14">
                  <c:v>372423983.35000002</c:v>
                </c:pt>
                <c:pt idx="15">
                  <c:v>372402022.35000002</c:v>
                </c:pt>
                <c:pt idx="16">
                  <c:v>372347502.44999999</c:v>
                </c:pt>
                <c:pt idx="17">
                  <c:v>372191333.14999998</c:v>
                </c:pt>
                <c:pt idx="18">
                  <c:v>372028994.94999999</c:v>
                </c:pt>
                <c:pt idx="19">
                  <c:v>371862406.44999999</c:v>
                </c:pt>
                <c:pt idx="20">
                  <c:v>371691917.25</c:v>
                </c:pt>
                <c:pt idx="21">
                  <c:v>371517488.85000002</c:v>
                </c:pt>
                <c:pt idx="22">
                  <c:v>371278236.64999998</c:v>
                </c:pt>
                <c:pt idx="23">
                  <c:v>371034694.55000001</c:v>
                </c:pt>
                <c:pt idx="24">
                  <c:v>370786824.25</c:v>
                </c:pt>
                <c:pt idx="25">
                  <c:v>370534662.25</c:v>
                </c:pt>
                <c:pt idx="26">
                  <c:v>370282941.05000001</c:v>
                </c:pt>
                <c:pt idx="27">
                  <c:v>369972993.35000002</c:v>
                </c:pt>
                <c:pt idx="28">
                  <c:v>369665654.64999998</c:v>
                </c:pt>
                <c:pt idx="29">
                  <c:v>369359285.94999999</c:v>
                </c:pt>
                <c:pt idx="30">
                  <c:v>369050118.14999998</c:v>
                </c:pt>
                <c:pt idx="31">
                  <c:v>368738401.44999999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C-47F6-B032-4ECC5DD63591}"/>
            </c:ext>
          </c:extLst>
        </c:ser>
        <c:ser>
          <c:idx val="1"/>
          <c:order val="1"/>
          <c:tx>
            <c:strRef>
              <c:f>'Total Energy'!$B$193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Energy'!$C$193:$AH$193</c:f>
              <c:numCache>
                <c:formatCode>General</c:formatCode>
                <c:ptCount val="32"/>
                <c:pt idx="0">
                  <c:v>363857100</c:v>
                </c:pt>
                <c:pt idx="1">
                  <c:v>363857100</c:v>
                </c:pt>
                <c:pt idx="2">
                  <c:v>363857100</c:v>
                </c:pt>
                <c:pt idx="3">
                  <c:v>363857100</c:v>
                </c:pt>
                <c:pt idx="4">
                  <c:v>363857100</c:v>
                </c:pt>
                <c:pt idx="5">
                  <c:v>363857100</c:v>
                </c:pt>
                <c:pt idx="6">
                  <c:v>363857100</c:v>
                </c:pt>
                <c:pt idx="7">
                  <c:v>363857100</c:v>
                </c:pt>
                <c:pt idx="8">
                  <c:v>363857100</c:v>
                </c:pt>
                <c:pt idx="9">
                  <c:v>363857100</c:v>
                </c:pt>
                <c:pt idx="10">
                  <c:v>363857100</c:v>
                </c:pt>
                <c:pt idx="11">
                  <c:v>363857100</c:v>
                </c:pt>
                <c:pt idx="12">
                  <c:v>363857100</c:v>
                </c:pt>
                <c:pt idx="13">
                  <c:v>363857100</c:v>
                </c:pt>
                <c:pt idx="14">
                  <c:v>363857100</c:v>
                </c:pt>
                <c:pt idx="15">
                  <c:v>363857100</c:v>
                </c:pt>
                <c:pt idx="16">
                  <c:v>363857100</c:v>
                </c:pt>
                <c:pt idx="17">
                  <c:v>363857100</c:v>
                </c:pt>
                <c:pt idx="18">
                  <c:v>363857100</c:v>
                </c:pt>
                <c:pt idx="19">
                  <c:v>363857100</c:v>
                </c:pt>
                <c:pt idx="20">
                  <c:v>363857100</c:v>
                </c:pt>
                <c:pt idx="21">
                  <c:v>363857100</c:v>
                </c:pt>
                <c:pt idx="22">
                  <c:v>363857100</c:v>
                </c:pt>
                <c:pt idx="23">
                  <c:v>363857100</c:v>
                </c:pt>
                <c:pt idx="24">
                  <c:v>363857100</c:v>
                </c:pt>
                <c:pt idx="25">
                  <c:v>363857100</c:v>
                </c:pt>
                <c:pt idx="26">
                  <c:v>363857100</c:v>
                </c:pt>
                <c:pt idx="27">
                  <c:v>363857100</c:v>
                </c:pt>
                <c:pt idx="28">
                  <c:v>363857100</c:v>
                </c:pt>
                <c:pt idx="29">
                  <c:v>363857100</c:v>
                </c:pt>
                <c:pt idx="30">
                  <c:v>363857100</c:v>
                </c:pt>
                <c:pt idx="31">
                  <c:v>363857100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6C-47F6-B032-4ECC5DD63591}"/>
            </c:ext>
          </c:extLst>
        </c:ser>
        <c:ser>
          <c:idx val="2"/>
          <c:order val="2"/>
          <c:tx>
            <c:strRef>
              <c:f>'Total Energy'!$B$183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Energy'!$C$183:$AH$183</c:f>
              <c:numCache>
                <c:formatCode>General</c:formatCode>
                <c:ptCount val="32"/>
                <c:pt idx="0">
                  <c:v>344926100</c:v>
                </c:pt>
                <c:pt idx="1">
                  <c:v>345294300</c:v>
                </c:pt>
                <c:pt idx="2">
                  <c:v>345435400</c:v>
                </c:pt>
                <c:pt idx="3">
                  <c:v>342830300</c:v>
                </c:pt>
                <c:pt idx="4">
                  <c:v>340987600</c:v>
                </c:pt>
                <c:pt idx="5">
                  <c:v>336020000</c:v>
                </c:pt>
                <c:pt idx="6">
                  <c:v>318642000</c:v>
                </c:pt>
                <c:pt idx="7">
                  <c:v>310223400</c:v>
                </c:pt>
                <c:pt idx="8">
                  <c:v>300516600</c:v>
                </c:pt>
                <c:pt idx="9">
                  <c:v>290756700</c:v>
                </c:pt>
                <c:pt idx="10">
                  <c:v>282183200</c:v>
                </c:pt>
                <c:pt idx="11">
                  <c:v>276995800</c:v>
                </c:pt>
                <c:pt idx="12">
                  <c:v>274163800</c:v>
                </c:pt>
                <c:pt idx="13">
                  <c:v>273341900</c:v>
                </c:pt>
                <c:pt idx="14">
                  <c:v>273579800</c:v>
                </c:pt>
                <c:pt idx="15">
                  <c:v>272276400</c:v>
                </c:pt>
                <c:pt idx="16">
                  <c:v>273016100</c:v>
                </c:pt>
                <c:pt idx="17">
                  <c:v>273188400</c:v>
                </c:pt>
                <c:pt idx="18">
                  <c:v>273305200</c:v>
                </c:pt>
                <c:pt idx="19">
                  <c:v>273558000</c:v>
                </c:pt>
                <c:pt idx="20">
                  <c:v>274175400</c:v>
                </c:pt>
                <c:pt idx="21">
                  <c:v>275112900</c:v>
                </c:pt>
                <c:pt idx="22">
                  <c:v>275826500</c:v>
                </c:pt>
                <c:pt idx="23">
                  <c:v>276406500</c:v>
                </c:pt>
                <c:pt idx="24">
                  <c:v>276909300</c:v>
                </c:pt>
                <c:pt idx="25">
                  <c:v>277458800</c:v>
                </c:pt>
                <c:pt idx="26">
                  <c:v>278147500</c:v>
                </c:pt>
                <c:pt idx="27">
                  <c:v>279032500</c:v>
                </c:pt>
                <c:pt idx="28">
                  <c:v>280189600</c:v>
                </c:pt>
                <c:pt idx="29">
                  <c:v>281635700</c:v>
                </c:pt>
                <c:pt idx="30">
                  <c:v>283340700</c:v>
                </c:pt>
                <c:pt idx="31">
                  <c:v>285171200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6C-47F6-B032-4ECC5DD63591}"/>
            </c:ext>
          </c:extLst>
        </c:ser>
        <c:ser>
          <c:idx val="3"/>
          <c:order val="3"/>
          <c:tx>
            <c:strRef>
              <c:f>'Total Energy'!$B$185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Energy'!$C$185:$AH$185</c:f>
              <c:numCache>
                <c:formatCode>General</c:formatCode>
                <c:ptCount val="32"/>
                <c:pt idx="0">
                  <c:v>321326760.80000001</c:v>
                </c:pt>
                <c:pt idx="1">
                  <c:v>322562504.60000002</c:v>
                </c:pt>
                <c:pt idx="2">
                  <c:v>324713226</c:v>
                </c:pt>
                <c:pt idx="3">
                  <c:v>327257769.10000002</c:v>
                </c:pt>
                <c:pt idx="4">
                  <c:v>329878523.10000002</c:v>
                </c:pt>
                <c:pt idx="5">
                  <c:v>332505587.10000002</c:v>
                </c:pt>
                <c:pt idx="6">
                  <c:v>335290466.10000002</c:v>
                </c:pt>
                <c:pt idx="7">
                  <c:v>336587517.5</c:v>
                </c:pt>
                <c:pt idx="8">
                  <c:v>337908474.89999998</c:v>
                </c:pt>
                <c:pt idx="9">
                  <c:v>339196956.30000001</c:v>
                </c:pt>
                <c:pt idx="10">
                  <c:v>340443722.39999998</c:v>
                </c:pt>
                <c:pt idx="11">
                  <c:v>341661883.30000001</c:v>
                </c:pt>
                <c:pt idx="12">
                  <c:v>342578381.39999998</c:v>
                </c:pt>
                <c:pt idx="13">
                  <c:v>343481057.5</c:v>
                </c:pt>
                <c:pt idx="14">
                  <c:v>344452354.80000001</c:v>
                </c:pt>
                <c:pt idx="15">
                  <c:v>345421213.10000002</c:v>
                </c:pt>
                <c:pt idx="16">
                  <c:v>346417469.60000002</c:v>
                </c:pt>
                <c:pt idx="17">
                  <c:v>347238729.5</c:v>
                </c:pt>
                <c:pt idx="18">
                  <c:v>348057708.30000001</c:v>
                </c:pt>
                <c:pt idx="19">
                  <c:v>348877656.19999999</c:v>
                </c:pt>
                <c:pt idx="20">
                  <c:v>349701457.10000002</c:v>
                </c:pt>
                <c:pt idx="21">
                  <c:v>350527598</c:v>
                </c:pt>
                <c:pt idx="22">
                  <c:v>351376080.60000002</c:v>
                </c:pt>
                <c:pt idx="23">
                  <c:v>352220452.19999999</c:v>
                </c:pt>
                <c:pt idx="24">
                  <c:v>353061457.80000001</c:v>
                </c:pt>
                <c:pt idx="25">
                  <c:v>353900876.39999998</c:v>
                </c:pt>
                <c:pt idx="26">
                  <c:v>354743507</c:v>
                </c:pt>
                <c:pt idx="27">
                  <c:v>355546889.60000002</c:v>
                </c:pt>
                <c:pt idx="28">
                  <c:v>356356275.30000001</c:v>
                </c:pt>
                <c:pt idx="29">
                  <c:v>357170882.89999998</c:v>
                </c:pt>
                <c:pt idx="30">
                  <c:v>357989221.5</c:v>
                </c:pt>
                <c:pt idx="31">
                  <c:v>358808146.10000002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6C-47F6-B032-4ECC5DD63591}"/>
            </c:ext>
          </c:extLst>
        </c:ser>
        <c:ser>
          <c:idx val="4"/>
          <c:order val="4"/>
          <c:tx>
            <c:strRef>
              <c:f>'Total Energy'!$B$181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Energy'!$C$181:$AH$181</c:f>
              <c:numCache>
                <c:formatCode>General</c:formatCode>
                <c:ptCount val="32"/>
                <c:pt idx="0">
                  <c:v>216163500</c:v>
                </c:pt>
                <c:pt idx="1">
                  <c:v>208234600</c:v>
                </c:pt>
                <c:pt idx="2">
                  <c:v>208094400</c:v>
                </c:pt>
                <c:pt idx="3">
                  <c:v>207368900</c:v>
                </c:pt>
                <c:pt idx="4">
                  <c:v>206898500</c:v>
                </c:pt>
                <c:pt idx="5">
                  <c:v>206207300</c:v>
                </c:pt>
                <c:pt idx="6">
                  <c:v>206199000</c:v>
                </c:pt>
                <c:pt idx="7">
                  <c:v>204966600</c:v>
                </c:pt>
                <c:pt idx="8">
                  <c:v>204093400</c:v>
                </c:pt>
                <c:pt idx="9">
                  <c:v>203347100</c:v>
                </c:pt>
                <c:pt idx="10">
                  <c:v>202689800</c:v>
                </c:pt>
                <c:pt idx="11">
                  <c:v>202334800</c:v>
                </c:pt>
                <c:pt idx="12">
                  <c:v>202022300</c:v>
                </c:pt>
                <c:pt idx="13">
                  <c:v>201920600</c:v>
                </c:pt>
                <c:pt idx="14">
                  <c:v>201806400</c:v>
                </c:pt>
                <c:pt idx="15">
                  <c:v>201570000</c:v>
                </c:pt>
                <c:pt idx="16">
                  <c:v>201635800</c:v>
                </c:pt>
                <c:pt idx="17">
                  <c:v>201671100</c:v>
                </c:pt>
                <c:pt idx="18">
                  <c:v>201737200</c:v>
                </c:pt>
                <c:pt idx="19">
                  <c:v>201847600</c:v>
                </c:pt>
                <c:pt idx="20">
                  <c:v>202032200</c:v>
                </c:pt>
                <c:pt idx="21">
                  <c:v>202284800</c:v>
                </c:pt>
                <c:pt idx="22">
                  <c:v>202494700</c:v>
                </c:pt>
                <c:pt idx="23">
                  <c:v>202716100</c:v>
                </c:pt>
                <c:pt idx="24">
                  <c:v>202950500</c:v>
                </c:pt>
                <c:pt idx="25">
                  <c:v>203204700</c:v>
                </c:pt>
                <c:pt idx="26">
                  <c:v>203483100</c:v>
                </c:pt>
                <c:pt idx="27">
                  <c:v>203822900</c:v>
                </c:pt>
                <c:pt idx="28">
                  <c:v>204196100</c:v>
                </c:pt>
                <c:pt idx="29">
                  <c:v>204602200</c:v>
                </c:pt>
                <c:pt idx="30">
                  <c:v>205037000</c:v>
                </c:pt>
                <c:pt idx="31">
                  <c:v>205485600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6C-47F6-B032-4ECC5DD63591}"/>
            </c:ext>
          </c:extLst>
        </c:ser>
        <c:ser>
          <c:idx val="5"/>
          <c:order val="5"/>
          <c:tx>
            <c:strRef>
              <c:f>'Total Energy'!$B$195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Energy'!$C$195:$AH$195</c:f>
              <c:numCache>
                <c:formatCode>General</c:formatCode>
                <c:ptCount val="32"/>
                <c:pt idx="0">
                  <c:v>125996294</c:v>
                </c:pt>
                <c:pt idx="1">
                  <c:v>125997743</c:v>
                </c:pt>
                <c:pt idx="2">
                  <c:v>125972995</c:v>
                </c:pt>
                <c:pt idx="3">
                  <c:v>125951326</c:v>
                </c:pt>
                <c:pt idx="4">
                  <c:v>125931967</c:v>
                </c:pt>
                <c:pt idx="5">
                  <c:v>125914902</c:v>
                </c:pt>
                <c:pt idx="6">
                  <c:v>125897729</c:v>
                </c:pt>
                <c:pt idx="7">
                  <c:v>125915345</c:v>
                </c:pt>
                <c:pt idx="8">
                  <c:v>125934267</c:v>
                </c:pt>
                <c:pt idx="9">
                  <c:v>125954369</c:v>
                </c:pt>
                <c:pt idx="10">
                  <c:v>125974265</c:v>
                </c:pt>
                <c:pt idx="11">
                  <c:v>125993935</c:v>
                </c:pt>
                <c:pt idx="12">
                  <c:v>126063197</c:v>
                </c:pt>
                <c:pt idx="13">
                  <c:v>126132361</c:v>
                </c:pt>
                <c:pt idx="14">
                  <c:v>126201464</c:v>
                </c:pt>
                <c:pt idx="15">
                  <c:v>126270510</c:v>
                </c:pt>
                <c:pt idx="16">
                  <c:v>126339492</c:v>
                </c:pt>
                <c:pt idx="17">
                  <c:v>126460845</c:v>
                </c:pt>
                <c:pt idx="18">
                  <c:v>126582157</c:v>
                </c:pt>
                <c:pt idx="19">
                  <c:v>126703414</c:v>
                </c:pt>
                <c:pt idx="20">
                  <c:v>126824609</c:v>
                </c:pt>
                <c:pt idx="21">
                  <c:v>126945760</c:v>
                </c:pt>
                <c:pt idx="22">
                  <c:v>126999494</c:v>
                </c:pt>
                <c:pt idx="23">
                  <c:v>127053177</c:v>
                </c:pt>
                <c:pt idx="24">
                  <c:v>127106807</c:v>
                </c:pt>
                <c:pt idx="25">
                  <c:v>127160609</c:v>
                </c:pt>
                <c:pt idx="26">
                  <c:v>127214630</c:v>
                </c:pt>
                <c:pt idx="27">
                  <c:v>127217265</c:v>
                </c:pt>
                <c:pt idx="28">
                  <c:v>127220133</c:v>
                </c:pt>
                <c:pt idx="29">
                  <c:v>127223078</c:v>
                </c:pt>
                <c:pt idx="30">
                  <c:v>127226030</c:v>
                </c:pt>
                <c:pt idx="31">
                  <c:v>127228969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6C-47F6-B032-4ECC5DD63591}"/>
            </c:ext>
          </c:extLst>
        </c:ser>
        <c:ser>
          <c:idx val="6"/>
          <c:order val="6"/>
          <c:tx>
            <c:strRef>
              <c:f>'Total Energy'!$B$188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Energy'!$C$188:$AH$188</c:f>
              <c:numCache>
                <c:formatCode>General</c:formatCode>
                <c:ptCount val="32"/>
                <c:pt idx="0">
                  <c:v>97427065.099999994</c:v>
                </c:pt>
                <c:pt idx="1">
                  <c:v>97268775.099999994</c:v>
                </c:pt>
                <c:pt idx="2">
                  <c:v>97275725.099999994</c:v>
                </c:pt>
                <c:pt idx="3">
                  <c:v>97070135.099999994</c:v>
                </c:pt>
                <c:pt idx="4">
                  <c:v>96925715.099999994</c:v>
                </c:pt>
                <c:pt idx="5">
                  <c:v>96549825.099999994</c:v>
                </c:pt>
                <c:pt idx="6">
                  <c:v>95291105.099999994</c:v>
                </c:pt>
                <c:pt idx="7">
                  <c:v>94656116.099999994</c:v>
                </c:pt>
                <c:pt idx="8">
                  <c:v>93936208.099999994</c:v>
                </c:pt>
                <c:pt idx="9">
                  <c:v>93215419.099999994</c:v>
                </c:pt>
                <c:pt idx="10">
                  <c:v>92582620.099999994</c:v>
                </c:pt>
                <c:pt idx="11">
                  <c:v>92202112.099999994</c:v>
                </c:pt>
                <c:pt idx="12">
                  <c:v>91997761.099999994</c:v>
                </c:pt>
                <c:pt idx="13">
                  <c:v>91943891.099999994</c:v>
                </c:pt>
                <c:pt idx="14">
                  <c:v>91966481.099999994</c:v>
                </c:pt>
                <c:pt idx="15">
                  <c:v>91874611.099999994</c:v>
                </c:pt>
                <c:pt idx="16">
                  <c:v>91937740.099999994</c:v>
                </c:pt>
                <c:pt idx="17">
                  <c:v>91963945.099999994</c:v>
                </c:pt>
                <c:pt idx="18">
                  <c:v>91986850.099999994</c:v>
                </c:pt>
                <c:pt idx="19">
                  <c:v>92020635.099999994</c:v>
                </c:pt>
                <c:pt idx="20">
                  <c:v>92082570.099999994</c:v>
                </c:pt>
                <c:pt idx="21">
                  <c:v>92169255.099999994</c:v>
                </c:pt>
                <c:pt idx="22">
                  <c:v>92232851.099999994</c:v>
                </c:pt>
                <c:pt idx="23">
                  <c:v>92287047.099999994</c:v>
                </c:pt>
                <c:pt idx="24">
                  <c:v>92335963.099999994</c:v>
                </c:pt>
                <c:pt idx="25">
                  <c:v>92388709.099999994</c:v>
                </c:pt>
                <c:pt idx="26">
                  <c:v>92452105.099999994</c:v>
                </c:pt>
                <c:pt idx="27">
                  <c:v>92526849.099999994</c:v>
                </c:pt>
                <c:pt idx="28">
                  <c:v>92622084.099999994</c:v>
                </c:pt>
                <c:pt idx="29">
                  <c:v>92739008.099999994</c:v>
                </c:pt>
                <c:pt idx="30">
                  <c:v>92875352.099999994</c:v>
                </c:pt>
                <c:pt idx="31">
                  <c:v>93021107.099999994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6C-47F6-B032-4ECC5DD63591}"/>
            </c:ext>
          </c:extLst>
        </c:ser>
        <c:ser>
          <c:idx val="7"/>
          <c:order val="7"/>
          <c:tx>
            <c:strRef>
              <c:f>'Total Energy'!$B$182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Energy'!$C$182:$AH$182</c:f>
              <c:numCache>
                <c:formatCode>General</c:formatCode>
                <c:ptCount val="32"/>
                <c:pt idx="0">
                  <c:v>93733824.84300001</c:v>
                </c:pt>
                <c:pt idx="1">
                  <c:v>93726812.722000003</c:v>
                </c:pt>
                <c:pt idx="2">
                  <c:v>93704452.985000014</c:v>
                </c:pt>
                <c:pt idx="3">
                  <c:v>93705252.394000009</c:v>
                </c:pt>
                <c:pt idx="4">
                  <c:v>93708618.947000012</c:v>
                </c:pt>
                <c:pt idx="5">
                  <c:v>93713942.644000009</c:v>
                </c:pt>
                <c:pt idx="6">
                  <c:v>93720392.487000003</c:v>
                </c:pt>
                <c:pt idx="7">
                  <c:v>93777924.288000003</c:v>
                </c:pt>
                <c:pt idx="8">
                  <c:v>93835706.730000004</c:v>
                </c:pt>
                <c:pt idx="9">
                  <c:v>93893512.825000003</c:v>
                </c:pt>
                <c:pt idx="10">
                  <c:v>93951118.560000002</c:v>
                </c:pt>
                <c:pt idx="11">
                  <c:v>94008521.967000008</c:v>
                </c:pt>
                <c:pt idx="12">
                  <c:v>94134007.096000001</c:v>
                </c:pt>
                <c:pt idx="13">
                  <c:v>94259343.134000003</c:v>
                </c:pt>
                <c:pt idx="14">
                  <c:v>94384573.082000002</c:v>
                </c:pt>
                <c:pt idx="15">
                  <c:v>94509681.941000015</c:v>
                </c:pt>
                <c:pt idx="16">
                  <c:v>94634691.709000006</c:v>
                </c:pt>
                <c:pt idx="17">
                  <c:v>94830899.411000013</c:v>
                </c:pt>
                <c:pt idx="18">
                  <c:v>95027030.083000004</c:v>
                </c:pt>
                <c:pt idx="19">
                  <c:v>95223062.735000014</c:v>
                </c:pt>
                <c:pt idx="20">
                  <c:v>95419015.376000002</c:v>
                </c:pt>
                <c:pt idx="21">
                  <c:v>95614869.987000003</c:v>
                </c:pt>
                <c:pt idx="22">
                  <c:v>95718616.726000011</c:v>
                </c:pt>
                <c:pt idx="23">
                  <c:v>95822281.131000012</c:v>
                </c:pt>
                <c:pt idx="24">
                  <c:v>95925876.203000009</c:v>
                </c:pt>
                <c:pt idx="25">
                  <c:v>96029409.940000013</c:v>
                </c:pt>
                <c:pt idx="26">
                  <c:v>96132890.344000012</c:v>
                </c:pt>
                <c:pt idx="27">
                  <c:v>96167838.274000004</c:v>
                </c:pt>
                <c:pt idx="28">
                  <c:v>96203129.844000012</c:v>
                </c:pt>
                <c:pt idx="29">
                  <c:v>96238703.06400001</c:v>
                </c:pt>
                <c:pt idx="30">
                  <c:v>96274610.915000007</c:v>
                </c:pt>
                <c:pt idx="31">
                  <c:v>96310448.405000001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6C-47F6-B032-4ECC5DD63591}"/>
            </c:ext>
          </c:extLst>
        </c:ser>
        <c:ser>
          <c:idx val="8"/>
          <c:order val="8"/>
          <c:tx>
            <c:strRef>
              <c:f>'Total Energy'!$B$180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Energy'!$C$180:$AH$180</c:f>
              <c:numCache>
                <c:formatCode>General</c:formatCode>
                <c:ptCount val="32"/>
                <c:pt idx="0">
                  <c:v>67364420</c:v>
                </c:pt>
                <c:pt idx="1">
                  <c:v>67364420</c:v>
                </c:pt>
                <c:pt idx="2">
                  <c:v>67364420</c:v>
                </c:pt>
                <c:pt idx="3">
                  <c:v>67364420</c:v>
                </c:pt>
                <c:pt idx="4">
                  <c:v>67364420</c:v>
                </c:pt>
                <c:pt idx="5">
                  <c:v>67364420</c:v>
                </c:pt>
                <c:pt idx="6">
                  <c:v>67364420</c:v>
                </c:pt>
                <c:pt idx="7">
                  <c:v>67365255</c:v>
                </c:pt>
                <c:pt idx="8">
                  <c:v>67366091</c:v>
                </c:pt>
                <c:pt idx="9">
                  <c:v>67366926</c:v>
                </c:pt>
                <c:pt idx="10">
                  <c:v>67367761</c:v>
                </c:pt>
                <c:pt idx="11">
                  <c:v>67368597</c:v>
                </c:pt>
                <c:pt idx="12">
                  <c:v>67370546</c:v>
                </c:pt>
                <c:pt idx="13">
                  <c:v>67372495</c:v>
                </c:pt>
                <c:pt idx="14">
                  <c:v>67374445</c:v>
                </c:pt>
                <c:pt idx="15">
                  <c:v>67376394</c:v>
                </c:pt>
                <c:pt idx="16">
                  <c:v>67378343</c:v>
                </c:pt>
                <c:pt idx="17">
                  <c:v>67381476</c:v>
                </c:pt>
                <c:pt idx="18">
                  <c:v>67384608</c:v>
                </c:pt>
                <c:pt idx="19">
                  <c:v>67387741</c:v>
                </c:pt>
                <c:pt idx="20">
                  <c:v>67390874</c:v>
                </c:pt>
                <c:pt idx="21">
                  <c:v>67394006</c:v>
                </c:pt>
                <c:pt idx="22">
                  <c:v>67395712</c:v>
                </c:pt>
                <c:pt idx="23">
                  <c:v>67397418</c:v>
                </c:pt>
                <c:pt idx="24">
                  <c:v>67399123</c:v>
                </c:pt>
                <c:pt idx="25">
                  <c:v>67400829</c:v>
                </c:pt>
                <c:pt idx="26">
                  <c:v>67402534</c:v>
                </c:pt>
                <c:pt idx="27">
                  <c:v>67403196</c:v>
                </c:pt>
                <c:pt idx="28">
                  <c:v>67403857</c:v>
                </c:pt>
                <c:pt idx="29">
                  <c:v>67404518</c:v>
                </c:pt>
                <c:pt idx="30">
                  <c:v>67405180</c:v>
                </c:pt>
                <c:pt idx="31">
                  <c:v>67405841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6C-47F6-B032-4ECC5DD63591}"/>
            </c:ext>
          </c:extLst>
        </c:ser>
        <c:ser>
          <c:idx val="9"/>
          <c:order val="9"/>
          <c:tx>
            <c:strRef>
              <c:f>'Total Energy'!$B$192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Energy'!$C$192:$AH$192</c:f>
              <c:numCache>
                <c:formatCode>General</c:formatCode>
                <c:ptCount val="32"/>
                <c:pt idx="0">
                  <c:v>62627730</c:v>
                </c:pt>
                <c:pt idx="1">
                  <c:v>62627730</c:v>
                </c:pt>
                <c:pt idx="2">
                  <c:v>62627730</c:v>
                </c:pt>
                <c:pt idx="3">
                  <c:v>62627730</c:v>
                </c:pt>
                <c:pt idx="4">
                  <c:v>62627730</c:v>
                </c:pt>
                <c:pt idx="5">
                  <c:v>62627730</c:v>
                </c:pt>
                <c:pt idx="6">
                  <c:v>62627730</c:v>
                </c:pt>
                <c:pt idx="7">
                  <c:v>62627730</c:v>
                </c:pt>
                <c:pt idx="8">
                  <c:v>62627730</c:v>
                </c:pt>
                <c:pt idx="9">
                  <c:v>62627730</c:v>
                </c:pt>
                <c:pt idx="10">
                  <c:v>62627730</c:v>
                </c:pt>
                <c:pt idx="11">
                  <c:v>62627730</c:v>
                </c:pt>
                <c:pt idx="12">
                  <c:v>62627730</c:v>
                </c:pt>
                <c:pt idx="13">
                  <c:v>62627730</c:v>
                </c:pt>
                <c:pt idx="14">
                  <c:v>62627730</c:v>
                </c:pt>
                <c:pt idx="15">
                  <c:v>62627730</c:v>
                </c:pt>
                <c:pt idx="16">
                  <c:v>62627730</c:v>
                </c:pt>
                <c:pt idx="17">
                  <c:v>62627730</c:v>
                </c:pt>
                <c:pt idx="18">
                  <c:v>62627730</c:v>
                </c:pt>
                <c:pt idx="19">
                  <c:v>62627730</c:v>
                </c:pt>
                <c:pt idx="20">
                  <c:v>62627730</c:v>
                </c:pt>
                <c:pt idx="21">
                  <c:v>62627730</c:v>
                </c:pt>
                <c:pt idx="22">
                  <c:v>62627730</c:v>
                </c:pt>
                <c:pt idx="23">
                  <c:v>62627730</c:v>
                </c:pt>
                <c:pt idx="24">
                  <c:v>62627730</c:v>
                </c:pt>
                <c:pt idx="25">
                  <c:v>62627730</c:v>
                </c:pt>
                <c:pt idx="26">
                  <c:v>62627730</c:v>
                </c:pt>
                <c:pt idx="27">
                  <c:v>62627730</c:v>
                </c:pt>
                <c:pt idx="28">
                  <c:v>62627730</c:v>
                </c:pt>
                <c:pt idx="29">
                  <c:v>62627730</c:v>
                </c:pt>
                <c:pt idx="30">
                  <c:v>62627730</c:v>
                </c:pt>
                <c:pt idx="31">
                  <c:v>62627730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6C-47F6-B032-4ECC5DD63591}"/>
            </c:ext>
          </c:extLst>
        </c:ser>
        <c:ser>
          <c:idx val="10"/>
          <c:order val="10"/>
          <c:tx>
            <c:strRef>
              <c:f>'Total Energy'!$B$179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Energy'!$C$179:$AH$179</c:f>
              <c:numCache>
                <c:formatCode>General</c:formatCode>
                <c:ptCount val="32"/>
                <c:pt idx="0">
                  <c:v>52357190</c:v>
                </c:pt>
                <c:pt idx="1">
                  <c:v>52357190</c:v>
                </c:pt>
                <c:pt idx="2">
                  <c:v>52357190</c:v>
                </c:pt>
                <c:pt idx="3">
                  <c:v>52357190</c:v>
                </c:pt>
                <c:pt idx="4">
                  <c:v>52357190</c:v>
                </c:pt>
                <c:pt idx="5">
                  <c:v>52357190</c:v>
                </c:pt>
                <c:pt idx="6">
                  <c:v>52357190</c:v>
                </c:pt>
                <c:pt idx="7">
                  <c:v>52357190</c:v>
                </c:pt>
                <c:pt idx="8">
                  <c:v>52357190</c:v>
                </c:pt>
                <c:pt idx="9">
                  <c:v>52357190</c:v>
                </c:pt>
                <c:pt idx="10">
                  <c:v>52357190</c:v>
                </c:pt>
                <c:pt idx="11">
                  <c:v>52357190</c:v>
                </c:pt>
                <c:pt idx="12">
                  <c:v>52357190</c:v>
                </c:pt>
                <c:pt idx="13">
                  <c:v>52357190</c:v>
                </c:pt>
                <c:pt idx="14">
                  <c:v>52357190</c:v>
                </c:pt>
                <c:pt idx="15">
                  <c:v>52357190</c:v>
                </c:pt>
                <c:pt idx="16">
                  <c:v>52357190</c:v>
                </c:pt>
                <c:pt idx="17">
                  <c:v>52357190</c:v>
                </c:pt>
                <c:pt idx="18">
                  <c:v>52357190</c:v>
                </c:pt>
                <c:pt idx="19">
                  <c:v>52357190</c:v>
                </c:pt>
                <c:pt idx="20">
                  <c:v>52357190</c:v>
                </c:pt>
                <c:pt idx="21">
                  <c:v>52357190</c:v>
                </c:pt>
                <c:pt idx="22">
                  <c:v>52357190</c:v>
                </c:pt>
                <c:pt idx="23">
                  <c:v>52357190</c:v>
                </c:pt>
                <c:pt idx="24">
                  <c:v>52357190</c:v>
                </c:pt>
                <c:pt idx="25">
                  <c:v>52357190</c:v>
                </c:pt>
                <c:pt idx="26">
                  <c:v>52357190</c:v>
                </c:pt>
                <c:pt idx="27">
                  <c:v>52357190</c:v>
                </c:pt>
                <c:pt idx="28">
                  <c:v>52357190</c:v>
                </c:pt>
                <c:pt idx="29">
                  <c:v>52357190</c:v>
                </c:pt>
                <c:pt idx="30">
                  <c:v>52357190</c:v>
                </c:pt>
                <c:pt idx="31">
                  <c:v>52357190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6C-47F6-B032-4ECC5DD63591}"/>
            </c:ext>
          </c:extLst>
        </c:ser>
        <c:ser>
          <c:idx val="11"/>
          <c:order val="11"/>
          <c:tx>
            <c:strRef>
              <c:f>'Total Energy'!$B$194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Energy'!$C$194:$AH$194</c:f>
              <c:numCache>
                <c:formatCode>General</c:formatCode>
                <c:ptCount val="32"/>
                <c:pt idx="0">
                  <c:v>43192630</c:v>
                </c:pt>
                <c:pt idx="1">
                  <c:v>43192630</c:v>
                </c:pt>
                <c:pt idx="2">
                  <c:v>43192630</c:v>
                </c:pt>
                <c:pt idx="3">
                  <c:v>43192630</c:v>
                </c:pt>
                <c:pt idx="4">
                  <c:v>43192630</c:v>
                </c:pt>
                <c:pt idx="5">
                  <c:v>43192630</c:v>
                </c:pt>
                <c:pt idx="6">
                  <c:v>43192630</c:v>
                </c:pt>
                <c:pt idx="7">
                  <c:v>43192630</c:v>
                </c:pt>
                <c:pt idx="8">
                  <c:v>43192630</c:v>
                </c:pt>
                <c:pt idx="9">
                  <c:v>43192630</c:v>
                </c:pt>
                <c:pt idx="10">
                  <c:v>43192630</c:v>
                </c:pt>
                <c:pt idx="11">
                  <c:v>43192630</c:v>
                </c:pt>
                <c:pt idx="12">
                  <c:v>43192630</c:v>
                </c:pt>
                <c:pt idx="13">
                  <c:v>43192630</c:v>
                </c:pt>
                <c:pt idx="14">
                  <c:v>43192630</c:v>
                </c:pt>
                <c:pt idx="15">
                  <c:v>43192630</c:v>
                </c:pt>
                <c:pt idx="16">
                  <c:v>43192630</c:v>
                </c:pt>
                <c:pt idx="17">
                  <c:v>43192630</c:v>
                </c:pt>
                <c:pt idx="18">
                  <c:v>43192630</c:v>
                </c:pt>
                <c:pt idx="19">
                  <c:v>43192630</c:v>
                </c:pt>
                <c:pt idx="20">
                  <c:v>43192630</c:v>
                </c:pt>
                <c:pt idx="21">
                  <c:v>43192630</c:v>
                </c:pt>
                <c:pt idx="22">
                  <c:v>43192630</c:v>
                </c:pt>
                <c:pt idx="23">
                  <c:v>43192630</c:v>
                </c:pt>
                <c:pt idx="24">
                  <c:v>43192630</c:v>
                </c:pt>
                <c:pt idx="25">
                  <c:v>43192630</c:v>
                </c:pt>
                <c:pt idx="26">
                  <c:v>43192630</c:v>
                </c:pt>
                <c:pt idx="27">
                  <c:v>43192630</c:v>
                </c:pt>
                <c:pt idx="28">
                  <c:v>43192630</c:v>
                </c:pt>
                <c:pt idx="29">
                  <c:v>43192640</c:v>
                </c:pt>
                <c:pt idx="30">
                  <c:v>43192630</c:v>
                </c:pt>
                <c:pt idx="31">
                  <c:v>43192630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6C-47F6-B032-4ECC5DD63591}"/>
            </c:ext>
          </c:extLst>
        </c:ser>
        <c:ser>
          <c:idx val="12"/>
          <c:order val="12"/>
          <c:tx>
            <c:strRef>
              <c:f>'Total Energy'!$B$184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Energy'!$C$184:$AH$184</c:f>
              <c:numCache>
                <c:formatCode>General</c:formatCode>
                <c:ptCount val="32"/>
                <c:pt idx="0">
                  <c:v>18826570</c:v>
                </c:pt>
                <c:pt idx="1">
                  <c:v>18905040</c:v>
                </c:pt>
                <c:pt idx="2">
                  <c:v>18907690</c:v>
                </c:pt>
                <c:pt idx="3">
                  <c:v>18947970</c:v>
                </c:pt>
                <c:pt idx="4">
                  <c:v>18989570</c:v>
                </c:pt>
                <c:pt idx="5">
                  <c:v>19031230</c:v>
                </c:pt>
                <c:pt idx="6">
                  <c:v>19071720</c:v>
                </c:pt>
                <c:pt idx="7">
                  <c:v>19096240</c:v>
                </c:pt>
                <c:pt idx="8">
                  <c:v>19120330</c:v>
                </c:pt>
                <c:pt idx="9">
                  <c:v>19143800</c:v>
                </c:pt>
                <c:pt idx="10">
                  <c:v>19165880</c:v>
                </c:pt>
                <c:pt idx="11">
                  <c:v>19186540</c:v>
                </c:pt>
                <c:pt idx="12">
                  <c:v>19200990</c:v>
                </c:pt>
                <c:pt idx="13">
                  <c:v>19214330</c:v>
                </c:pt>
                <c:pt idx="14">
                  <c:v>19226660</c:v>
                </c:pt>
                <c:pt idx="15">
                  <c:v>19238020</c:v>
                </c:pt>
                <c:pt idx="16">
                  <c:v>19248390</c:v>
                </c:pt>
                <c:pt idx="17">
                  <c:v>19242380</c:v>
                </c:pt>
                <c:pt idx="18">
                  <c:v>19235490</c:v>
                </c:pt>
                <c:pt idx="19">
                  <c:v>19227710</c:v>
                </c:pt>
                <c:pt idx="20">
                  <c:v>19219040</c:v>
                </c:pt>
                <c:pt idx="21">
                  <c:v>19209490</c:v>
                </c:pt>
                <c:pt idx="22">
                  <c:v>19179550</c:v>
                </c:pt>
                <c:pt idx="23">
                  <c:v>19148890</c:v>
                </c:pt>
                <c:pt idx="24">
                  <c:v>19117520</c:v>
                </c:pt>
                <c:pt idx="25">
                  <c:v>19085490</c:v>
                </c:pt>
                <c:pt idx="26">
                  <c:v>19054990</c:v>
                </c:pt>
                <c:pt idx="27">
                  <c:v>19019630</c:v>
                </c:pt>
                <c:pt idx="28">
                  <c:v>18986400</c:v>
                </c:pt>
                <c:pt idx="29">
                  <c:v>18954890</c:v>
                </c:pt>
                <c:pt idx="30">
                  <c:v>18923900</c:v>
                </c:pt>
                <c:pt idx="31">
                  <c:v>18892820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6C-47F6-B032-4ECC5DD63591}"/>
            </c:ext>
          </c:extLst>
        </c:ser>
        <c:ser>
          <c:idx val="13"/>
          <c:order val="13"/>
          <c:tx>
            <c:strRef>
              <c:f>'Total Energy'!$B$189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Energy'!$C$189:$AH$189</c:f>
              <c:numCache>
                <c:formatCode>General</c:formatCode>
                <c:ptCount val="32"/>
                <c:pt idx="0">
                  <c:v>11547872.9618</c:v>
                </c:pt>
                <c:pt idx="1">
                  <c:v>11565419.9618</c:v>
                </c:pt>
                <c:pt idx="2">
                  <c:v>11592675.8618</c:v>
                </c:pt>
                <c:pt idx="3">
                  <c:v>11626046.061799999</c:v>
                </c:pt>
                <c:pt idx="4">
                  <c:v>11663840.161800001</c:v>
                </c:pt>
                <c:pt idx="5">
                  <c:v>11703969.561799999</c:v>
                </c:pt>
                <c:pt idx="6">
                  <c:v>11744637.061799999</c:v>
                </c:pt>
                <c:pt idx="7">
                  <c:v>11757019.8618</c:v>
                </c:pt>
                <c:pt idx="8">
                  <c:v>11770227.161800001</c:v>
                </c:pt>
                <c:pt idx="9">
                  <c:v>11784715.7618</c:v>
                </c:pt>
                <c:pt idx="10">
                  <c:v>11800618.061799999</c:v>
                </c:pt>
                <c:pt idx="11">
                  <c:v>11818137.561799999</c:v>
                </c:pt>
                <c:pt idx="12">
                  <c:v>11833371.7618</c:v>
                </c:pt>
                <c:pt idx="13">
                  <c:v>11849329.3618</c:v>
                </c:pt>
                <c:pt idx="14">
                  <c:v>11865529.161800001</c:v>
                </c:pt>
                <c:pt idx="15">
                  <c:v>11881686.061799999</c:v>
                </c:pt>
                <c:pt idx="16">
                  <c:v>11897695.3618</c:v>
                </c:pt>
                <c:pt idx="17">
                  <c:v>11911603.2618</c:v>
                </c:pt>
                <c:pt idx="18">
                  <c:v>11925332.561799999</c:v>
                </c:pt>
                <c:pt idx="19">
                  <c:v>11938882.9618</c:v>
                </c:pt>
                <c:pt idx="20">
                  <c:v>11952252.661800001</c:v>
                </c:pt>
                <c:pt idx="21">
                  <c:v>11965445.4618</c:v>
                </c:pt>
                <c:pt idx="22">
                  <c:v>11974183.661800001</c:v>
                </c:pt>
                <c:pt idx="23">
                  <c:v>11982763.7618</c:v>
                </c:pt>
                <c:pt idx="24">
                  <c:v>11991182.661800001</c:v>
                </c:pt>
                <c:pt idx="25">
                  <c:v>11999562.2618</c:v>
                </c:pt>
                <c:pt idx="26">
                  <c:v>12007904.7618</c:v>
                </c:pt>
                <c:pt idx="27">
                  <c:v>12012968.3618</c:v>
                </c:pt>
                <c:pt idx="28">
                  <c:v>12019104.061799999</c:v>
                </c:pt>
                <c:pt idx="29">
                  <c:v>12025856.161800001</c:v>
                </c:pt>
                <c:pt idx="30">
                  <c:v>12032457.661800001</c:v>
                </c:pt>
                <c:pt idx="31">
                  <c:v>12038899.3618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6C-47F6-B032-4ECC5DD63591}"/>
            </c:ext>
          </c:extLst>
        </c:ser>
        <c:ser>
          <c:idx val="14"/>
          <c:order val="14"/>
          <c:tx>
            <c:strRef>
              <c:f>'Total Energy'!$B$190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Energy'!$C$190:$AH$190</c:f>
              <c:numCache>
                <c:formatCode>General</c:formatCode>
                <c:ptCount val="32"/>
                <c:pt idx="0">
                  <c:v>2016918.442</c:v>
                </c:pt>
                <c:pt idx="1">
                  <c:v>2016918.442</c:v>
                </c:pt>
                <c:pt idx="2">
                  <c:v>2016918.442</c:v>
                </c:pt>
                <c:pt idx="3">
                  <c:v>2016918.442</c:v>
                </c:pt>
                <c:pt idx="4">
                  <c:v>2016918.442</c:v>
                </c:pt>
                <c:pt idx="5">
                  <c:v>2016918.442</c:v>
                </c:pt>
                <c:pt idx="6">
                  <c:v>2016918.442</c:v>
                </c:pt>
                <c:pt idx="7">
                  <c:v>2016918.442</c:v>
                </c:pt>
                <c:pt idx="8">
                  <c:v>2016918.442</c:v>
                </c:pt>
                <c:pt idx="9">
                  <c:v>2016918.442</c:v>
                </c:pt>
                <c:pt idx="10">
                  <c:v>2016918.442</c:v>
                </c:pt>
                <c:pt idx="11">
                  <c:v>2016918.442</c:v>
                </c:pt>
                <c:pt idx="12">
                  <c:v>2016918.442</c:v>
                </c:pt>
                <c:pt idx="13">
                  <c:v>2016918.442</c:v>
                </c:pt>
                <c:pt idx="14">
                  <c:v>2016918.442</c:v>
                </c:pt>
                <c:pt idx="15">
                  <c:v>2016918.442</c:v>
                </c:pt>
                <c:pt idx="16">
                  <c:v>2016918.442</c:v>
                </c:pt>
                <c:pt idx="17">
                  <c:v>2016918.442</c:v>
                </c:pt>
                <c:pt idx="18">
                  <c:v>2016918.442</c:v>
                </c:pt>
                <c:pt idx="19">
                  <c:v>2016918.442</c:v>
                </c:pt>
                <c:pt idx="20">
                  <c:v>2016918.442</c:v>
                </c:pt>
                <c:pt idx="21">
                  <c:v>2016918.442</c:v>
                </c:pt>
                <c:pt idx="22">
                  <c:v>2016918.442</c:v>
                </c:pt>
                <c:pt idx="23">
                  <c:v>2016918.442</c:v>
                </c:pt>
                <c:pt idx="24">
                  <c:v>2016918.442</c:v>
                </c:pt>
                <c:pt idx="25">
                  <c:v>2016918.442</c:v>
                </c:pt>
                <c:pt idx="26">
                  <c:v>2016918.442</c:v>
                </c:pt>
                <c:pt idx="27">
                  <c:v>2016918.442</c:v>
                </c:pt>
                <c:pt idx="28">
                  <c:v>2016918.442</c:v>
                </c:pt>
                <c:pt idx="29">
                  <c:v>2016918.452</c:v>
                </c:pt>
                <c:pt idx="30">
                  <c:v>2016918.442</c:v>
                </c:pt>
                <c:pt idx="31">
                  <c:v>2016918.442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06C-47F6-B032-4ECC5DD63591}"/>
            </c:ext>
          </c:extLst>
        </c:ser>
        <c:ser>
          <c:idx val="15"/>
          <c:order val="15"/>
          <c:tx>
            <c:strRef>
              <c:f>'Total Energy'!$B$186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Energy'!$C$186:$AH$186</c:f>
              <c:numCache>
                <c:formatCode>General</c:formatCode>
                <c:ptCount val="32"/>
                <c:pt idx="0">
                  <c:v>610090.47</c:v>
                </c:pt>
                <c:pt idx="1">
                  <c:v>610090.45299999998</c:v>
                </c:pt>
                <c:pt idx="2">
                  <c:v>610090.44700000004</c:v>
                </c:pt>
                <c:pt idx="3">
                  <c:v>610090.4580000001</c:v>
                </c:pt>
                <c:pt idx="4">
                  <c:v>610090.45200000005</c:v>
                </c:pt>
                <c:pt idx="5">
                  <c:v>610090.495</c:v>
                </c:pt>
                <c:pt idx="6">
                  <c:v>610090.50699999998</c:v>
                </c:pt>
                <c:pt idx="7">
                  <c:v>610090.44999999995</c:v>
                </c:pt>
                <c:pt idx="8">
                  <c:v>610090.43499999994</c:v>
                </c:pt>
                <c:pt idx="9">
                  <c:v>610090.51099999994</c:v>
                </c:pt>
                <c:pt idx="10">
                  <c:v>610090.47499999998</c:v>
                </c:pt>
                <c:pt idx="11">
                  <c:v>610090.43400000001</c:v>
                </c:pt>
                <c:pt idx="12">
                  <c:v>610090.42500000005</c:v>
                </c:pt>
                <c:pt idx="13">
                  <c:v>610090.48600000003</c:v>
                </c:pt>
                <c:pt idx="14">
                  <c:v>610090.43900000001</c:v>
                </c:pt>
                <c:pt idx="15">
                  <c:v>610090.45900000003</c:v>
                </c:pt>
                <c:pt idx="16">
                  <c:v>610090.48800000001</c:v>
                </c:pt>
                <c:pt idx="17">
                  <c:v>610090.44700000004</c:v>
                </c:pt>
                <c:pt idx="18">
                  <c:v>610090.43099999998</c:v>
                </c:pt>
                <c:pt idx="19">
                  <c:v>610090.42099999997</c:v>
                </c:pt>
                <c:pt idx="20">
                  <c:v>610090.47</c:v>
                </c:pt>
                <c:pt idx="21">
                  <c:v>610090.50199999998</c:v>
                </c:pt>
                <c:pt idx="22">
                  <c:v>610090.43599999999</c:v>
                </c:pt>
                <c:pt idx="23">
                  <c:v>610090.41200000001</c:v>
                </c:pt>
                <c:pt idx="24">
                  <c:v>610090.49</c:v>
                </c:pt>
                <c:pt idx="25">
                  <c:v>610090.45600000001</c:v>
                </c:pt>
                <c:pt idx="26">
                  <c:v>610090.47499999998</c:v>
                </c:pt>
                <c:pt idx="27">
                  <c:v>610090.45700000005</c:v>
                </c:pt>
                <c:pt idx="28">
                  <c:v>610090.48300000001</c:v>
                </c:pt>
                <c:pt idx="29">
                  <c:v>610090.44700000004</c:v>
                </c:pt>
                <c:pt idx="30">
                  <c:v>610090.49800000002</c:v>
                </c:pt>
                <c:pt idx="31">
                  <c:v>610090.45400000003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6C-47F6-B032-4ECC5DD63591}"/>
            </c:ext>
          </c:extLst>
        </c:ser>
        <c:ser>
          <c:idx val="16"/>
          <c:order val="16"/>
          <c:tx>
            <c:strRef>
              <c:f>'Total Energy'!$B$191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Energy'!$C$102:$AH$102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Energy'!$C$191:$AH$191</c:f>
              <c:numCache>
                <c:formatCode>General</c:formatCode>
                <c:ptCount val="32"/>
                <c:pt idx="0">
                  <c:v>441453.027</c:v>
                </c:pt>
                <c:pt idx="1">
                  <c:v>441453.027</c:v>
                </c:pt>
                <c:pt idx="2">
                  <c:v>441453.12699999998</c:v>
                </c:pt>
                <c:pt idx="3">
                  <c:v>441453.027</c:v>
                </c:pt>
                <c:pt idx="4">
                  <c:v>441453.027</c:v>
                </c:pt>
                <c:pt idx="5">
                  <c:v>441453.027</c:v>
                </c:pt>
                <c:pt idx="6">
                  <c:v>441453.027</c:v>
                </c:pt>
                <c:pt idx="7">
                  <c:v>441455.946</c:v>
                </c:pt>
                <c:pt idx="8">
                  <c:v>441458.66399999999</c:v>
                </c:pt>
                <c:pt idx="9">
                  <c:v>441461.48200000002</c:v>
                </c:pt>
                <c:pt idx="10">
                  <c:v>441464.30099999998</c:v>
                </c:pt>
                <c:pt idx="11">
                  <c:v>441467.21899999998</c:v>
                </c:pt>
                <c:pt idx="12">
                  <c:v>441473.696</c:v>
                </c:pt>
                <c:pt idx="13">
                  <c:v>441480.272</c:v>
                </c:pt>
                <c:pt idx="14">
                  <c:v>441486.94799999997</c:v>
                </c:pt>
                <c:pt idx="15">
                  <c:v>441493.42499999999</c:v>
                </c:pt>
                <c:pt idx="16">
                  <c:v>441500.00099999999</c:v>
                </c:pt>
                <c:pt idx="17">
                  <c:v>441510.57</c:v>
                </c:pt>
                <c:pt idx="18">
                  <c:v>441521.13900000002</c:v>
                </c:pt>
                <c:pt idx="19">
                  <c:v>441531.70799999998</c:v>
                </c:pt>
                <c:pt idx="20">
                  <c:v>441542.27799999999</c:v>
                </c:pt>
                <c:pt idx="21">
                  <c:v>441552.94699999999</c:v>
                </c:pt>
                <c:pt idx="22">
                  <c:v>441558.60100000002</c:v>
                </c:pt>
                <c:pt idx="23">
                  <c:v>441564.45500000002</c:v>
                </c:pt>
                <c:pt idx="24">
                  <c:v>441570.11</c:v>
                </c:pt>
                <c:pt idx="25">
                  <c:v>441575.96399999998</c:v>
                </c:pt>
                <c:pt idx="26">
                  <c:v>441581.61800000002</c:v>
                </c:pt>
                <c:pt idx="27">
                  <c:v>441583.95</c:v>
                </c:pt>
                <c:pt idx="28">
                  <c:v>441586.18099999998</c:v>
                </c:pt>
                <c:pt idx="29">
                  <c:v>441588.41200000001</c:v>
                </c:pt>
                <c:pt idx="30">
                  <c:v>441590.64299999998</c:v>
                </c:pt>
                <c:pt idx="31">
                  <c:v>441592.875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06C-47F6-B032-4ECC5DD63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0001"/>
        <c:axId val="50570002"/>
      </c:areaChart>
      <c:catAx>
        <c:axId val="505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70002"/>
        <c:crosses val="autoZero"/>
        <c:auto val="1"/>
        <c:lblAlgn val="ctr"/>
        <c:lblOffset val="100"/>
        <c:tickLblSkip val="2"/>
        <c:noMultiLvlLbl val="0"/>
      </c:catAx>
      <c:valAx>
        <c:axId val="505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7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Energy'!$B$187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Energy'!$C$187,'Total Energy'!$AH$187)</c:f>
              <c:numCache>
                <c:formatCode>General</c:formatCode>
                <c:ptCount val="2"/>
                <c:pt idx="0">
                  <c:v>368529502.75</c:v>
                </c:pt>
                <c:pt idx="1">
                  <c:v>368738401.44999999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A-489A-9BA8-3C2BFE768617}"/>
            </c:ext>
          </c:extLst>
        </c:ser>
        <c:ser>
          <c:idx val="1"/>
          <c:order val="1"/>
          <c:tx>
            <c:strRef>
              <c:f>'Total Energy'!$B$193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Energy'!$C$193,'Total Energy'!$AH$193)</c:f>
              <c:numCache>
                <c:formatCode>General</c:formatCode>
                <c:ptCount val="2"/>
                <c:pt idx="0">
                  <c:v>363857100</c:v>
                </c:pt>
                <c:pt idx="1">
                  <c:v>363857100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A-489A-9BA8-3C2BFE768617}"/>
            </c:ext>
          </c:extLst>
        </c:ser>
        <c:ser>
          <c:idx val="2"/>
          <c:order val="2"/>
          <c:tx>
            <c:strRef>
              <c:f>'Total Energy'!$B$183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Energy'!$C$183,'Total Energy'!$AH$183)</c:f>
              <c:numCache>
                <c:formatCode>General</c:formatCode>
                <c:ptCount val="2"/>
                <c:pt idx="0">
                  <c:v>344926100</c:v>
                </c:pt>
                <c:pt idx="1">
                  <c:v>285171200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A-489A-9BA8-3C2BFE768617}"/>
            </c:ext>
          </c:extLst>
        </c:ser>
        <c:ser>
          <c:idx val="3"/>
          <c:order val="3"/>
          <c:tx>
            <c:strRef>
              <c:f>'Total Energy'!$B$185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Energy'!$C$185,'Total Energy'!$AH$185)</c:f>
              <c:numCache>
                <c:formatCode>General</c:formatCode>
                <c:ptCount val="2"/>
                <c:pt idx="0">
                  <c:v>321326760.80000001</c:v>
                </c:pt>
                <c:pt idx="1">
                  <c:v>358808146.10000002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0A-489A-9BA8-3C2BFE768617}"/>
            </c:ext>
          </c:extLst>
        </c:ser>
        <c:ser>
          <c:idx val="4"/>
          <c:order val="4"/>
          <c:tx>
            <c:strRef>
              <c:f>'Total Energy'!$B$181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Energy'!$C$181,'Total Energy'!$AH$181)</c:f>
              <c:numCache>
                <c:formatCode>General</c:formatCode>
                <c:ptCount val="2"/>
                <c:pt idx="0">
                  <c:v>216163500</c:v>
                </c:pt>
                <c:pt idx="1">
                  <c:v>205485600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0A-489A-9BA8-3C2BFE768617}"/>
            </c:ext>
          </c:extLst>
        </c:ser>
        <c:ser>
          <c:idx val="5"/>
          <c:order val="5"/>
          <c:tx>
            <c:strRef>
              <c:f>'Total Energy'!$B$195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Energy'!$C$195,'Total Energy'!$AH$195)</c:f>
              <c:numCache>
                <c:formatCode>General</c:formatCode>
                <c:ptCount val="2"/>
                <c:pt idx="0">
                  <c:v>125996294</c:v>
                </c:pt>
                <c:pt idx="1">
                  <c:v>127228969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0A-489A-9BA8-3C2BFE768617}"/>
            </c:ext>
          </c:extLst>
        </c:ser>
        <c:ser>
          <c:idx val="6"/>
          <c:order val="6"/>
          <c:tx>
            <c:strRef>
              <c:f>'Total Energy'!$B$188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Energy'!$C$188,'Total Energy'!$AH$188)</c:f>
              <c:numCache>
                <c:formatCode>General</c:formatCode>
                <c:ptCount val="2"/>
                <c:pt idx="0">
                  <c:v>97427065.099999994</c:v>
                </c:pt>
                <c:pt idx="1">
                  <c:v>93021107.099999994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0A-489A-9BA8-3C2BFE768617}"/>
            </c:ext>
          </c:extLst>
        </c:ser>
        <c:ser>
          <c:idx val="7"/>
          <c:order val="7"/>
          <c:tx>
            <c:strRef>
              <c:f>'Total Energy'!$B$182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Energy'!$C$182,'Total Energy'!$AH$182)</c:f>
              <c:numCache>
                <c:formatCode>General</c:formatCode>
                <c:ptCount val="2"/>
                <c:pt idx="0">
                  <c:v>93733824.84300001</c:v>
                </c:pt>
                <c:pt idx="1">
                  <c:v>96310448.405000001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0A-489A-9BA8-3C2BFE768617}"/>
            </c:ext>
          </c:extLst>
        </c:ser>
        <c:ser>
          <c:idx val="8"/>
          <c:order val="8"/>
          <c:tx>
            <c:strRef>
              <c:f>'Total Energy'!$B$180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Energy'!$C$180,'Total Energy'!$AH$180)</c:f>
              <c:numCache>
                <c:formatCode>General</c:formatCode>
                <c:ptCount val="2"/>
                <c:pt idx="0">
                  <c:v>67364420</c:v>
                </c:pt>
                <c:pt idx="1">
                  <c:v>67405841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A-489A-9BA8-3C2BFE768617}"/>
            </c:ext>
          </c:extLst>
        </c:ser>
        <c:ser>
          <c:idx val="9"/>
          <c:order val="9"/>
          <c:tx>
            <c:strRef>
              <c:f>'Total Energy'!$B$192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Energy'!$C$192,'Total Energy'!$AH$192)</c:f>
              <c:numCache>
                <c:formatCode>General</c:formatCode>
                <c:ptCount val="2"/>
                <c:pt idx="0">
                  <c:v>62627730</c:v>
                </c:pt>
                <c:pt idx="1">
                  <c:v>62627730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0A-489A-9BA8-3C2BFE768617}"/>
            </c:ext>
          </c:extLst>
        </c:ser>
        <c:ser>
          <c:idx val="10"/>
          <c:order val="10"/>
          <c:tx>
            <c:strRef>
              <c:f>'Total Energy'!$B$179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Energy'!$C$179,'Total Energy'!$AH$179)</c:f>
              <c:numCache>
                <c:formatCode>General</c:formatCode>
                <c:ptCount val="2"/>
                <c:pt idx="0">
                  <c:v>52357190</c:v>
                </c:pt>
                <c:pt idx="1">
                  <c:v>52357190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0A-489A-9BA8-3C2BFE768617}"/>
            </c:ext>
          </c:extLst>
        </c:ser>
        <c:ser>
          <c:idx val="11"/>
          <c:order val="11"/>
          <c:tx>
            <c:strRef>
              <c:f>'Total Energy'!$B$194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Energy'!$C$194,'Total Energy'!$AH$194)</c:f>
              <c:numCache>
                <c:formatCode>General</c:formatCode>
                <c:ptCount val="2"/>
                <c:pt idx="0">
                  <c:v>43192630</c:v>
                </c:pt>
                <c:pt idx="1">
                  <c:v>43192630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0A-489A-9BA8-3C2BFE768617}"/>
            </c:ext>
          </c:extLst>
        </c:ser>
        <c:ser>
          <c:idx val="12"/>
          <c:order val="12"/>
          <c:tx>
            <c:strRef>
              <c:f>'Total Energy'!$B$184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Energy'!$C$184,'Total Energy'!$AH$184)</c:f>
              <c:numCache>
                <c:formatCode>General</c:formatCode>
                <c:ptCount val="2"/>
                <c:pt idx="0">
                  <c:v>18826570</c:v>
                </c:pt>
                <c:pt idx="1">
                  <c:v>18892820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0A-489A-9BA8-3C2BFE768617}"/>
            </c:ext>
          </c:extLst>
        </c:ser>
        <c:ser>
          <c:idx val="13"/>
          <c:order val="13"/>
          <c:tx>
            <c:strRef>
              <c:f>'Total Energy'!$B$189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Energy'!$C$189,'Total Energy'!$AH$189)</c:f>
              <c:numCache>
                <c:formatCode>General</c:formatCode>
                <c:ptCount val="2"/>
                <c:pt idx="0">
                  <c:v>11547872.9618</c:v>
                </c:pt>
                <c:pt idx="1">
                  <c:v>12038899.3618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10A-489A-9BA8-3C2BFE768617}"/>
            </c:ext>
          </c:extLst>
        </c:ser>
        <c:ser>
          <c:idx val="14"/>
          <c:order val="14"/>
          <c:tx>
            <c:strRef>
              <c:f>'Total Energy'!$B$190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Energy'!$C$190,'Total Energy'!$AH$190)</c:f>
              <c:numCache>
                <c:formatCode>General</c:formatCode>
                <c:ptCount val="2"/>
                <c:pt idx="0">
                  <c:v>2016918.442</c:v>
                </c:pt>
                <c:pt idx="1">
                  <c:v>2016918.442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0A-489A-9BA8-3C2BFE768617}"/>
            </c:ext>
          </c:extLst>
        </c:ser>
        <c:ser>
          <c:idx val="15"/>
          <c:order val="15"/>
          <c:tx>
            <c:strRef>
              <c:f>'Total Energy'!$B$186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Energy'!$C$186,'Total Energy'!$AH$186)</c:f>
              <c:numCache>
                <c:formatCode>General</c:formatCode>
                <c:ptCount val="2"/>
                <c:pt idx="0">
                  <c:v>610090.47</c:v>
                </c:pt>
                <c:pt idx="1">
                  <c:v>610090.45400000003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10A-489A-9BA8-3C2BFE768617}"/>
            </c:ext>
          </c:extLst>
        </c:ser>
        <c:ser>
          <c:idx val="16"/>
          <c:order val="16"/>
          <c:tx>
            <c:strRef>
              <c:f>'Total Energy'!$B$191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Energy'!$C$102,'Total Energy'!$AH$102)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Energy'!$C$191,'Total Energy'!$AH$191)</c:f>
              <c:numCache>
                <c:formatCode>General</c:formatCode>
                <c:ptCount val="2"/>
                <c:pt idx="0">
                  <c:v>441453.027</c:v>
                </c:pt>
                <c:pt idx="1">
                  <c:v>441592.875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0A-489A-9BA8-3C2BFE768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80001"/>
        <c:axId val="50580002"/>
      </c:barChart>
      <c:catAx>
        <c:axId val="505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80002"/>
        <c:crosses val="autoZero"/>
        <c:auto val="1"/>
        <c:lblAlgn val="ctr"/>
        <c:lblOffset val="100"/>
        <c:noMultiLvlLbl val="0"/>
      </c:catAx>
      <c:valAx>
        <c:axId val="505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8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Energy'!$D$199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Energy'!$D$200:$D$211</c:f>
              <c:numCache>
                <c:formatCode>General</c:formatCode>
                <c:ptCount val="12"/>
                <c:pt idx="6">
                  <c:v>52357190</c:v>
                </c:pt>
                <c:pt idx="7">
                  <c:v>52357184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2-4E4B-A0B4-F8B046B4B902}"/>
            </c:ext>
          </c:extLst>
        </c:ser>
        <c:ser>
          <c:idx val="1"/>
          <c:order val="1"/>
          <c:tx>
            <c:strRef>
              <c:f>'Total Energy'!$E$199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Energy'!$E$200:$E$211</c:f>
              <c:numCache>
                <c:formatCode>General</c:formatCode>
                <c:ptCount val="12"/>
                <c:pt idx="4">
                  <c:v>62546650</c:v>
                </c:pt>
                <c:pt idx="5">
                  <c:v>0</c:v>
                </c:pt>
                <c:pt idx="6">
                  <c:v>4817770</c:v>
                </c:pt>
                <c:pt idx="7">
                  <c:v>2094891.1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2-4E4B-A0B4-F8B046B4B902}"/>
            </c:ext>
          </c:extLst>
        </c:ser>
        <c:ser>
          <c:idx val="2"/>
          <c:order val="2"/>
          <c:tx>
            <c:strRef>
              <c:f>'Total Energy'!$F$199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Energy'!$F$200:$F$211</c:f>
              <c:numCache>
                <c:formatCode>General</c:formatCode>
                <c:ptCount val="12"/>
                <c:pt idx="10">
                  <c:v>216163500</c:v>
                </c:pt>
                <c:pt idx="11">
                  <c:v>33317610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32-4E4B-A0B4-F8B046B4B902}"/>
            </c:ext>
          </c:extLst>
        </c:ser>
        <c:ser>
          <c:idx val="3"/>
          <c:order val="3"/>
          <c:tx>
            <c:strRef>
              <c:f>'Total Energy'!$G$199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Energy'!$G$200:$G$211</c:f>
              <c:numCache>
                <c:formatCode>General</c:formatCode>
                <c:ptCount val="12"/>
                <c:pt idx="2">
                  <c:v>37540.576000000001</c:v>
                </c:pt>
                <c:pt idx="3">
                  <c:v>24434.42036</c:v>
                </c:pt>
                <c:pt idx="4">
                  <c:v>67140.179999999993</c:v>
                </c:pt>
                <c:pt idx="5">
                  <c:v>0</c:v>
                </c:pt>
                <c:pt idx="6">
                  <c:v>88801676.086999997</c:v>
                </c:pt>
                <c:pt idx="7">
                  <c:v>23970401.087000001</c:v>
                </c:pt>
                <c:pt idx="8">
                  <c:v>4827468</c:v>
                </c:pt>
                <c:pt idx="9">
                  <c:v>8799.7373000000007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32-4E4B-A0B4-F8B046B4B902}"/>
            </c:ext>
          </c:extLst>
        </c:ser>
        <c:ser>
          <c:idx val="4"/>
          <c:order val="4"/>
          <c:tx>
            <c:strRef>
              <c:f>'Total Energy'!$H$199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Energy'!$H$200:$H$211</c:f>
              <c:numCache>
                <c:formatCode>General</c:formatCode>
                <c:ptCount val="12"/>
                <c:pt idx="10">
                  <c:v>344926100</c:v>
                </c:pt>
                <c:pt idx="11">
                  <c:v>571681.4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32-4E4B-A0B4-F8B046B4B902}"/>
            </c:ext>
          </c:extLst>
        </c:ser>
        <c:ser>
          <c:idx val="5"/>
          <c:order val="5"/>
          <c:tx>
            <c:strRef>
              <c:f>'Total Energy'!$I$199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Energy'!$I$200:$I$211</c:f>
              <c:numCache>
                <c:formatCode>General</c:formatCode>
                <c:ptCount val="12"/>
                <c:pt idx="8">
                  <c:v>18826570</c:v>
                </c:pt>
                <c:pt idx="9">
                  <c:v>41350910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32-4E4B-A0B4-F8B046B4B902}"/>
            </c:ext>
          </c:extLst>
        </c:ser>
        <c:ser>
          <c:idx val="6"/>
          <c:order val="6"/>
          <c:tx>
            <c:strRef>
              <c:f>'Total Energy'!$J$199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Energy'!$J$200:$J$211</c:f>
              <c:numCache>
                <c:formatCode>General</c:formatCode>
                <c:ptCount val="12"/>
                <c:pt idx="2">
                  <c:v>134139423</c:v>
                </c:pt>
                <c:pt idx="3">
                  <c:v>82942278</c:v>
                </c:pt>
                <c:pt idx="6">
                  <c:v>52488966.5</c:v>
                </c:pt>
                <c:pt idx="7">
                  <c:v>156726699</c:v>
                </c:pt>
                <c:pt idx="8">
                  <c:v>134071018</c:v>
                </c:pt>
                <c:pt idx="9">
                  <c:v>76182223</c:v>
                </c:pt>
                <c:pt idx="10">
                  <c:v>627353.30000000005</c:v>
                </c:pt>
                <c:pt idx="11">
                  <c:v>77494430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32-4E4B-A0B4-F8B046B4B902}"/>
            </c:ext>
          </c:extLst>
        </c:ser>
        <c:ser>
          <c:idx val="7"/>
          <c:order val="7"/>
          <c:tx>
            <c:strRef>
              <c:f>'Total Energy'!$K$199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Energy'!$K$200:$K$211</c:f>
              <c:numCache>
                <c:formatCode>General</c:formatCode>
                <c:ptCount val="12"/>
                <c:pt idx="0">
                  <c:v>0</c:v>
                </c:pt>
                <c:pt idx="1">
                  <c:v>1069030.2309999999</c:v>
                </c:pt>
                <c:pt idx="2">
                  <c:v>0</c:v>
                </c:pt>
                <c:pt idx="3">
                  <c:v>2855786.72</c:v>
                </c:pt>
                <c:pt idx="4">
                  <c:v>0</c:v>
                </c:pt>
                <c:pt idx="5">
                  <c:v>7669052.068</c:v>
                </c:pt>
                <c:pt idx="6">
                  <c:v>0</c:v>
                </c:pt>
                <c:pt idx="7">
                  <c:v>95319918.920000002</c:v>
                </c:pt>
                <c:pt idx="8">
                  <c:v>0</c:v>
                </c:pt>
                <c:pt idx="9">
                  <c:v>884591.15999999992</c:v>
                </c:pt>
                <c:pt idx="10">
                  <c:v>0</c:v>
                </c:pt>
                <c:pt idx="11">
                  <c:v>53338420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32-4E4B-A0B4-F8B046B4B902}"/>
            </c:ext>
          </c:extLst>
        </c:ser>
        <c:ser>
          <c:idx val="8"/>
          <c:order val="8"/>
          <c:tx>
            <c:strRef>
              <c:f>'Total Energy'!$L$199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Energy'!$L$200:$L$211</c:f>
              <c:numCache>
                <c:formatCode>General</c:formatCode>
                <c:ptCount val="12"/>
                <c:pt idx="2">
                  <c:v>258988.23</c:v>
                </c:pt>
                <c:pt idx="3">
                  <c:v>254986.45600000001</c:v>
                </c:pt>
                <c:pt idx="6">
                  <c:v>95302.543000000005</c:v>
                </c:pt>
                <c:pt idx="7">
                  <c:v>121428.125</c:v>
                </c:pt>
                <c:pt idx="8">
                  <c:v>255799.69699999999</c:v>
                </c:pt>
                <c:pt idx="9">
                  <c:v>233675.897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32-4E4B-A0B4-F8B046B4B902}"/>
            </c:ext>
          </c:extLst>
        </c:ser>
        <c:ser>
          <c:idx val="9"/>
          <c:order val="9"/>
          <c:tx>
            <c:strRef>
              <c:f>'Total Energy'!$M$199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Energy'!$M$200:$M$211</c:f>
              <c:numCache>
                <c:formatCode>General</c:formatCode>
                <c:ptCount val="12"/>
                <c:pt idx="0">
                  <c:v>7126865.1600000001</c:v>
                </c:pt>
                <c:pt idx="1">
                  <c:v>0.16991769100000001</c:v>
                </c:pt>
                <c:pt idx="2">
                  <c:v>68765769.799999997</c:v>
                </c:pt>
                <c:pt idx="3">
                  <c:v>0.45391511400000001</c:v>
                </c:pt>
                <c:pt idx="4">
                  <c:v>98959233.789999992</c:v>
                </c:pt>
                <c:pt idx="5">
                  <c:v>0.3263640974</c:v>
                </c:pt>
                <c:pt idx="6">
                  <c:v>102416770.5</c:v>
                </c:pt>
                <c:pt idx="7">
                  <c:v>0.82187974100000005</c:v>
                </c:pt>
                <c:pt idx="8">
                  <c:v>91080825</c:v>
                </c:pt>
                <c:pt idx="9">
                  <c:v>0.14060199000000001</c:v>
                </c:pt>
                <c:pt idx="10">
                  <c:v>180038.5</c:v>
                </c:pt>
                <c:pt idx="11">
                  <c:v>144030.79999999999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32-4E4B-A0B4-F8B046B4B902}"/>
            </c:ext>
          </c:extLst>
        </c:ser>
        <c:ser>
          <c:idx val="10"/>
          <c:order val="10"/>
          <c:tx>
            <c:strRef>
              <c:f>'Total Energy'!$N$199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Energy'!$N$200:$N$211</c:f>
              <c:numCache>
                <c:formatCode>General</c:formatCode>
                <c:ptCount val="12"/>
                <c:pt idx="4">
                  <c:v>64130000.100000001</c:v>
                </c:pt>
                <c:pt idx="5">
                  <c:v>46652280.100000001</c:v>
                </c:pt>
                <c:pt idx="6">
                  <c:v>5057415</c:v>
                </c:pt>
                <c:pt idx="7">
                  <c:v>3665999</c:v>
                </c:pt>
                <c:pt idx="8">
                  <c:v>0</c:v>
                </c:pt>
                <c:pt idx="9">
                  <c:v>1328786</c:v>
                </c:pt>
                <c:pt idx="10">
                  <c:v>28239650</c:v>
                </c:pt>
                <c:pt idx="11">
                  <c:v>8606368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32-4E4B-A0B4-F8B046B4B902}"/>
            </c:ext>
          </c:extLst>
        </c:ser>
        <c:ser>
          <c:idx val="11"/>
          <c:order val="11"/>
          <c:tx>
            <c:strRef>
              <c:f>'Total Energy'!$O$199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Energy'!$O$200:$O$211</c:f>
              <c:numCache>
                <c:formatCode>General</c:formatCode>
                <c:ptCount val="12"/>
                <c:pt idx="2">
                  <c:v>2696164.5</c:v>
                </c:pt>
                <c:pt idx="3">
                  <c:v>1301667.56</c:v>
                </c:pt>
                <c:pt idx="4">
                  <c:v>5220.8217999999997</c:v>
                </c:pt>
                <c:pt idx="5">
                  <c:v>1774.7346</c:v>
                </c:pt>
                <c:pt idx="6">
                  <c:v>4246659.8</c:v>
                </c:pt>
                <c:pt idx="7">
                  <c:v>1516625.9</c:v>
                </c:pt>
                <c:pt idx="8">
                  <c:v>4510368</c:v>
                </c:pt>
                <c:pt idx="9">
                  <c:v>9914.9369999999999</c:v>
                </c:pt>
                <c:pt idx="10">
                  <c:v>89459.839999999997</c:v>
                </c:pt>
                <c:pt idx="11">
                  <c:v>89459.839999999997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932-4E4B-A0B4-F8B046B4B902}"/>
            </c:ext>
          </c:extLst>
        </c:ser>
        <c:ser>
          <c:idx val="12"/>
          <c:order val="12"/>
          <c:tx>
            <c:strRef>
              <c:f>'Total Energy'!$P$199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Energy'!$P$200:$P$211</c:f>
              <c:numCache>
                <c:formatCode>General</c:formatCode>
                <c:ptCount val="12"/>
                <c:pt idx="0">
                  <c:v>1750154.2620000001</c:v>
                </c:pt>
                <c:pt idx="1">
                  <c:v>7807990.2599999998</c:v>
                </c:pt>
                <c:pt idx="2">
                  <c:v>55381.48</c:v>
                </c:pt>
                <c:pt idx="3">
                  <c:v>16237026</c:v>
                </c:pt>
                <c:pt idx="4">
                  <c:v>211382.7</c:v>
                </c:pt>
                <c:pt idx="5">
                  <c:v>11743173.08</c:v>
                </c:pt>
                <c:pt idx="6">
                  <c:v>0</c:v>
                </c:pt>
                <c:pt idx="7">
                  <c:v>29301315.300000001</c:v>
                </c:pt>
                <c:pt idx="8">
                  <c:v>0</c:v>
                </c:pt>
                <c:pt idx="9">
                  <c:v>5012683.5999999996</c:v>
                </c:pt>
                <c:pt idx="10">
                  <c:v>0</c:v>
                </c:pt>
                <c:pt idx="11">
                  <c:v>25677710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932-4E4B-A0B4-F8B046B4B902}"/>
            </c:ext>
          </c:extLst>
        </c:ser>
        <c:ser>
          <c:idx val="13"/>
          <c:order val="13"/>
          <c:tx>
            <c:strRef>
              <c:f>'Total Energy'!$Q$199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Energy'!$Q$200:$Q$211</c:f>
              <c:numCache>
                <c:formatCode>General</c:formatCode>
                <c:ptCount val="12"/>
                <c:pt idx="4">
                  <c:v>437311</c:v>
                </c:pt>
                <c:pt idx="5">
                  <c:v>864144.9</c:v>
                </c:pt>
                <c:pt idx="6">
                  <c:v>4142.027</c:v>
                </c:pt>
                <c:pt idx="7">
                  <c:v>4203.4390000000003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932-4E4B-A0B4-F8B046B4B902}"/>
            </c:ext>
          </c:extLst>
        </c:ser>
        <c:ser>
          <c:idx val="14"/>
          <c:order val="14"/>
          <c:tx>
            <c:strRef>
              <c:f>'Total Energy'!$R$199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Energy'!$R$200:$R$211</c:f>
              <c:numCache>
                <c:formatCode>General</c:formatCode>
                <c:ptCount val="12"/>
                <c:pt idx="4">
                  <c:v>62627730</c:v>
                </c:pt>
                <c:pt idx="5">
                  <c:v>61941140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32-4E4B-A0B4-F8B046B4B902}"/>
            </c:ext>
          </c:extLst>
        </c:ser>
        <c:ser>
          <c:idx val="15"/>
          <c:order val="15"/>
          <c:tx>
            <c:strRef>
              <c:f>'Total Energy'!$S$199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Energy'!$S$200:$S$211</c:f>
              <c:numCache>
                <c:formatCode>General</c:formatCode>
                <c:ptCount val="12"/>
                <c:pt idx="4">
                  <c:v>363857100</c:v>
                </c:pt>
                <c:pt idx="5">
                  <c:v>353505700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932-4E4B-A0B4-F8B046B4B902}"/>
            </c:ext>
          </c:extLst>
        </c:ser>
        <c:ser>
          <c:idx val="16"/>
          <c:order val="16"/>
          <c:tx>
            <c:strRef>
              <c:f>'Total Energy'!$T$199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Energy'!$T$200:$T$211</c:f>
              <c:numCache>
                <c:formatCode>General</c:formatCode>
                <c:ptCount val="12"/>
                <c:pt idx="4">
                  <c:v>43192630</c:v>
                </c:pt>
                <c:pt idx="5">
                  <c:v>45456160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932-4E4B-A0B4-F8B046B4B902}"/>
            </c:ext>
          </c:extLst>
        </c:ser>
        <c:ser>
          <c:idx val="17"/>
          <c:order val="17"/>
          <c:tx>
            <c:strRef>
              <c:f>'Total Energy'!$U$199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Energy'!$B$200:$C$211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Energy'!$U$200:$U$211</c:f>
              <c:numCache>
                <c:formatCode>General</c:formatCode>
                <c:ptCount val="12"/>
                <c:pt idx="4">
                  <c:v>4992240</c:v>
                </c:pt>
                <c:pt idx="5">
                  <c:v>4584367</c:v>
                </c:pt>
                <c:pt idx="6">
                  <c:v>114600340</c:v>
                </c:pt>
                <c:pt idx="7">
                  <c:v>87752820</c:v>
                </c:pt>
                <c:pt idx="8">
                  <c:v>6403714</c:v>
                </c:pt>
                <c:pt idx="9">
                  <c:v>13443.39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932-4E4B-A0B4-F8B046B4B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90001"/>
        <c:axId val="50590002"/>
      </c:barChart>
      <c:catAx>
        <c:axId val="505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90002"/>
        <c:crosses val="autoZero"/>
        <c:auto val="1"/>
        <c:lblAlgn val="ctr"/>
        <c:lblOffset val="100"/>
        <c:noMultiLvlLbl val="0"/>
      </c:catAx>
      <c:valAx>
        <c:axId val="505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59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Emissions'!$B$34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Emissions'!$C$34:$AH$34</c:f>
              <c:numCache>
                <c:formatCode>General</c:formatCode>
                <c:ptCount val="32"/>
                <c:pt idx="0">
                  <c:v>48408352.039399996</c:v>
                </c:pt>
                <c:pt idx="1">
                  <c:v>47690165.509000003</c:v>
                </c:pt>
                <c:pt idx="2">
                  <c:v>45978190.886799999</c:v>
                </c:pt>
                <c:pt idx="3">
                  <c:v>44088049.831</c:v>
                </c:pt>
                <c:pt idx="4">
                  <c:v>42287407.774999999</c:v>
                </c:pt>
                <c:pt idx="5">
                  <c:v>40116911.537</c:v>
                </c:pt>
                <c:pt idx="6">
                  <c:v>37089861.100000001</c:v>
                </c:pt>
                <c:pt idx="7">
                  <c:v>34728113.294</c:v>
                </c:pt>
                <c:pt idx="8">
                  <c:v>32295634.598999999</c:v>
                </c:pt>
                <c:pt idx="9">
                  <c:v>29846546.954</c:v>
                </c:pt>
                <c:pt idx="10">
                  <c:v>27484659.727000002</c:v>
                </c:pt>
                <c:pt idx="11">
                  <c:v>25359111.734000001</c:v>
                </c:pt>
                <c:pt idx="12">
                  <c:v>23469550.964000002</c:v>
                </c:pt>
                <c:pt idx="13">
                  <c:v>21761697.438000001</c:v>
                </c:pt>
                <c:pt idx="14">
                  <c:v>20160049.963</c:v>
                </c:pt>
                <c:pt idx="15">
                  <c:v>18473415.421</c:v>
                </c:pt>
                <c:pt idx="16">
                  <c:v>16978326.598000001</c:v>
                </c:pt>
                <c:pt idx="17">
                  <c:v>15939084.34</c:v>
                </c:pt>
                <c:pt idx="18">
                  <c:v>14908865.912</c:v>
                </c:pt>
                <c:pt idx="19">
                  <c:v>13921343.614</c:v>
                </c:pt>
                <c:pt idx="20">
                  <c:v>13170827.968</c:v>
                </c:pt>
                <c:pt idx="21">
                  <c:v>12477307.328</c:v>
                </c:pt>
                <c:pt idx="22">
                  <c:v>11967016.772</c:v>
                </c:pt>
                <c:pt idx="23">
                  <c:v>11492637.354</c:v>
                </c:pt>
                <c:pt idx="24">
                  <c:v>11064639.875</c:v>
                </c:pt>
                <c:pt idx="25">
                  <c:v>10685476.877</c:v>
                </c:pt>
                <c:pt idx="26">
                  <c:v>10351026.443</c:v>
                </c:pt>
                <c:pt idx="27">
                  <c:v>10066616.522</c:v>
                </c:pt>
                <c:pt idx="28">
                  <c:v>9820037.8719999995</c:v>
                </c:pt>
                <c:pt idx="29">
                  <c:v>9605500.1209999993</c:v>
                </c:pt>
                <c:pt idx="30">
                  <c:v>9416207.8770000003</c:v>
                </c:pt>
                <c:pt idx="31">
                  <c:v>9243653.8680000007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A-4E33-92CE-53207E6FE0B0}"/>
            </c:ext>
          </c:extLst>
        </c:ser>
        <c:ser>
          <c:idx val="1"/>
          <c:order val="1"/>
          <c:tx>
            <c:strRef>
              <c:f>'Total Emissions'!$B$32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Emissions'!$C$32:$AH$32</c:f>
              <c:numCache>
                <c:formatCode>General</c:formatCode>
                <c:ptCount val="32"/>
                <c:pt idx="0">
                  <c:v>20476927.013766222</c:v>
                </c:pt>
                <c:pt idx="1">
                  <c:v>20463532.243875049</c:v>
                </c:pt>
                <c:pt idx="2">
                  <c:v>20465960.90357998</c:v>
                </c:pt>
                <c:pt idx="3">
                  <c:v>20659887.133291531</c:v>
                </c:pt>
                <c:pt idx="4">
                  <c:v>20497459.10159</c:v>
                </c:pt>
                <c:pt idx="5">
                  <c:v>20347506.27042</c:v>
                </c:pt>
                <c:pt idx="6">
                  <c:v>18371296.5546</c:v>
                </c:pt>
                <c:pt idx="7">
                  <c:v>17817445.373300001</c:v>
                </c:pt>
                <c:pt idx="8">
                  <c:v>17268725.8475</c:v>
                </c:pt>
                <c:pt idx="9">
                  <c:v>16724195.6428</c:v>
                </c:pt>
                <c:pt idx="10">
                  <c:v>16172917.1918</c:v>
                </c:pt>
                <c:pt idx="11">
                  <c:v>15640256.4936</c:v>
                </c:pt>
                <c:pt idx="12">
                  <c:v>14910253.244999999</c:v>
                </c:pt>
                <c:pt idx="13">
                  <c:v>14175995.744000001</c:v>
                </c:pt>
                <c:pt idx="14">
                  <c:v>13435639.214</c:v>
                </c:pt>
                <c:pt idx="15">
                  <c:v>12682005.117000001</c:v>
                </c:pt>
                <c:pt idx="16">
                  <c:v>11950037.857000001</c:v>
                </c:pt>
                <c:pt idx="17">
                  <c:v>11512435.476</c:v>
                </c:pt>
                <c:pt idx="18">
                  <c:v>11077410.606000001</c:v>
                </c:pt>
                <c:pt idx="19">
                  <c:v>10647179.629000001</c:v>
                </c:pt>
                <c:pt idx="20">
                  <c:v>10216310.318</c:v>
                </c:pt>
                <c:pt idx="21">
                  <c:v>9812196.3460000008</c:v>
                </c:pt>
                <c:pt idx="22">
                  <c:v>9631342.8637108393</c:v>
                </c:pt>
                <c:pt idx="23">
                  <c:v>9467134.4951725993</c:v>
                </c:pt>
                <c:pt idx="24">
                  <c:v>9304751.6866927706</c:v>
                </c:pt>
                <c:pt idx="25">
                  <c:v>9144249.7152679898</c:v>
                </c:pt>
                <c:pt idx="26">
                  <c:v>8984419.4819022994</c:v>
                </c:pt>
                <c:pt idx="27">
                  <c:v>8839999.0525635201</c:v>
                </c:pt>
                <c:pt idx="28">
                  <c:v>8698925.5682785995</c:v>
                </c:pt>
                <c:pt idx="29">
                  <c:v>8561047.8730457295</c:v>
                </c:pt>
                <c:pt idx="30">
                  <c:v>8426493.2668609302</c:v>
                </c:pt>
                <c:pt idx="31">
                  <c:v>8294238.4117292203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A-4E33-92CE-53207E6FE0B0}"/>
            </c:ext>
          </c:extLst>
        </c:ser>
        <c:ser>
          <c:idx val="2"/>
          <c:order val="2"/>
          <c:tx>
            <c:strRef>
              <c:f>'Total Emissions'!$B$30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Emissions'!$C$30:$AH$30</c:f>
              <c:numCache>
                <c:formatCode>General</c:formatCode>
                <c:ptCount val="32"/>
                <c:pt idx="0">
                  <c:v>18990147.210269999</c:v>
                </c:pt>
                <c:pt idx="1">
                  <c:v>18990145.210269999</c:v>
                </c:pt>
                <c:pt idx="2">
                  <c:v>18990116.196369998</c:v>
                </c:pt>
                <c:pt idx="3">
                  <c:v>18990086.182569999</c:v>
                </c:pt>
                <c:pt idx="4">
                  <c:v>18970658.484859999</c:v>
                </c:pt>
                <c:pt idx="5">
                  <c:v>18934798.46384</c:v>
                </c:pt>
                <c:pt idx="6">
                  <c:v>10804815.15938</c:v>
                </c:pt>
                <c:pt idx="7">
                  <c:v>10695502.28744</c:v>
                </c:pt>
                <c:pt idx="8">
                  <c:v>10587979.6218</c:v>
                </c:pt>
                <c:pt idx="9">
                  <c:v>10481808.5447</c:v>
                </c:pt>
                <c:pt idx="10">
                  <c:v>10374178.2962</c:v>
                </c:pt>
                <c:pt idx="11">
                  <c:v>5505170.4408</c:v>
                </c:pt>
                <c:pt idx="12">
                  <c:v>5374298.1980999997</c:v>
                </c:pt>
                <c:pt idx="13">
                  <c:v>5239641.0368999997</c:v>
                </c:pt>
                <c:pt idx="14">
                  <c:v>5100021.2289000005</c:v>
                </c:pt>
                <c:pt idx="15">
                  <c:v>4952846.7546999985</c:v>
                </c:pt>
                <c:pt idx="16">
                  <c:v>4805337.8058000002</c:v>
                </c:pt>
                <c:pt idx="17">
                  <c:v>4704659.5587999998</c:v>
                </c:pt>
                <c:pt idx="18">
                  <c:v>4602376.0959000001</c:v>
                </c:pt>
                <c:pt idx="19">
                  <c:v>4498899.8502000002</c:v>
                </c:pt>
                <c:pt idx="20">
                  <c:v>4392441.9072000002</c:v>
                </c:pt>
                <c:pt idx="21">
                  <c:v>4290162.5933999997</c:v>
                </c:pt>
                <c:pt idx="22">
                  <c:v>4250462.6249000002</c:v>
                </c:pt>
                <c:pt idx="23">
                  <c:v>4215809.1237000003</c:v>
                </c:pt>
                <c:pt idx="24">
                  <c:v>4181980.1105</c:v>
                </c:pt>
                <c:pt idx="25">
                  <c:v>4148948.5684000002</c:v>
                </c:pt>
                <c:pt idx="26">
                  <c:v>2926348.10136875</c:v>
                </c:pt>
                <c:pt idx="27">
                  <c:v>2894825.4520693799</c:v>
                </c:pt>
                <c:pt idx="28">
                  <c:v>2864019.2265768098</c:v>
                </c:pt>
                <c:pt idx="29">
                  <c:v>2833906.4107908299</c:v>
                </c:pt>
                <c:pt idx="30">
                  <c:v>2804460.9908111901</c:v>
                </c:pt>
                <c:pt idx="31">
                  <c:v>2775663.9537376999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A-4E33-92CE-53207E6FE0B0}"/>
            </c:ext>
          </c:extLst>
        </c:ser>
        <c:ser>
          <c:idx val="3"/>
          <c:order val="3"/>
          <c:tx>
            <c:strRef>
              <c:f>'Total Emissions'!$B$33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Emissions'!$C$33:$AH$33</c:f>
              <c:numCache>
                <c:formatCode>General</c:formatCode>
                <c:ptCount val="32"/>
                <c:pt idx="0">
                  <c:v>9744535.1999999993</c:v>
                </c:pt>
                <c:pt idx="1">
                  <c:v>9711503.4000000004</c:v>
                </c:pt>
                <c:pt idx="2">
                  <c:v>9646647.1999999993</c:v>
                </c:pt>
                <c:pt idx="3">
                  <c:v>9616108.1999999993</c:v>
                </c:pt>
                <c:pt idx="4">
                  <c:v>9325178.8708200008</c:v>
                </c:pt>
                <c:pt idx="5">
                  <c:v>8919814.8711399995</c:v>
                </c:pt>
                <c:pt idx="6">
                  <c:v>5767530.4623999996</c:v>
                </c:pt>
                <c:pt idx="7">
                  <c:v>5244400.0686999997</c:v>
                </c:pt>
                <c:pt idx="8">
                  <c:v>4718978.8229999999</c:v>
                </c:pt>
                <c:pt idx="9">
                  <c:v>4182488.6063999999</c:v>
                </c:pt>
                <c:pt idx="10">
                  <c:v>3623689.4155000001</c:v>
                </c:pt>
                <c:pt idx="11">
                  <c:v>3063330.8451999999</c:v>
                </c:pt>
                <c:pt idx="12">
                  <c:v>2511572.0998</c:v>
                </c:pt>
                <c:pt idx="13">
                  <c:v>1989959.4483</c:v>
                </c:pt>
                <c:pt idx="14">
                  <c:v>1522420.6561</c:v>
                </c:pt>
                <c:pt idx="15">
                  <c:v>1120399.9127</c:v>
                </c:pt>
                <c:pt idx="16">
                  <c:v>801823.02690000006</c:v>
                </c:pt>
                <c:pt idx="17">
                  <c:v>604414.34860000003</c:v>
                </c:pt>
                <c:pt idx="18">
                  <c:v>452249.50880000001</c:v>
                </c:pt>
                <c:pt idx="19">
                  <c:v>338184.06809999997</c:v>
                </c:pt>
                <c:pt idx="20">
                  <c:v>253909.8236</c:v>
                </c:pt>
                <c:pt idx="21">
                  <c:v>194886.00039999999</c:v>
                </c:pt>
                <c:pt idx="22">
                  <c:v>176941.94652019901</c:v>
                </c:pt>
                <c:pt idx="23">
                  <c:v>164236.810309583</c:v>
                </c:pt>
                <c:pt idx="24">
                  <c:v>153452.275997605</c:v>
                </c:pt>
                <c:pt idx="25">
                  <c:v>144021.37281126299</c:v>
                </c:pt>
                <c:pt idx="26">
                  <c:v>135110.015881731</c:v>
                </c:pt>
                <c:pt idx="27">
                  <c:v>132735.845451373</c:v>
                </c:pt>
                <c:pt idx="28">
                  <c:v>130883.17287815901</c:v>
                </c:pt>
                <c:pt idx="29">
                  <c:v>129331.999234772</c:v>
                </c:pt>
                <c:pt idx="30">
                  <c:v>128081.571207945</c:v>
                </c:pt>
                <c:pt idx="31">
                  <c:v>126918.283691212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8A-4E33-92CE-53207E6FE0B0}"/>
            </c:ext>
          </c:extLst>
        </c:ser>
        <c:ser>
          <c:idx val="4"/>
          <c:order val="4"/>
          <c:tx>
            <c:strRef>
              <c:f>'Total Emissions'!$B$29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Emissions'!$C$29:$AH$29</c:f>
              <c:numCache>
                <c:formatCode>General</c:formatCode>
                <c:ptCount val="32"/>
                <c:pt idx="0">
                  <c:v>7899613.5607049996</c:v>
                </c:pt>
                <c:pt idx="1">
                  <c:v>7857007.1495960001</c:v>
                </c:pt>
                <c:pt idx="2">
                  <c:v>7904487.8838910004</c:v>
                </c:pt>
                <c:pt idx="3">
                  <c:v>7989641.3261799999</c:v>
                </c:pt>
                <c:pt idx="4">
                  <c:v>7913705.2911799997</c:v>
                </c:pt>
                <c:pt idx="5">
                  <c:v>7538220.48221</c:v>
                </c:pt>
                <c:pt idx="6">
                  <c:v>4548017.9978</c:v>
                </c:pt>
                <c:pt idx="7">
                  <c:v>4173840.3946000002</c:v>
                </c:pt>
                <c:pt idx="8">
                  <c:v>3814849.1033999999</c:v>
                </c:pt>
                <c:pt idx="9">
                  <c:v>3470064.4537999998</c:v>
                </c:pt>
                <c:pt idx="10">
                  <c:v>2975433.4490999999</c:v>
                </c:pt>
                <c:pt idx="11">
                  <c:v>2602840.1334000002</c:v>
                </c:pt>
                <c:pt idx="12">
                  <c:v>2218328.2299000002</c:v>
                </c:pt>
                <c:pt idx="13">
                  <c:v>1851960.0316000001</c:v>
                </c:pt>
                <c:pt idx="14">
                  <c:v>1506049.8145999999</c:v>
                </c:pt>
                <c:pt idx="15">
                  <c:v>1167301.9885</c:v>
                </c:pt>
                <c:pt idx="16">
                  <c:v>917570.93420000002</c:v>
                </c:pt>
                <c:pt idx="17">
                  <c:v>754347.69590000005</c:v>
                </c:pt>
                <c:pt idx="18">
                  <c:v>605629.75569999998</c:v>
                </c:pt>
                <c:pt idx="19">
                  <c:v>472846.05420000001</c:v>
                </c:pt>
                <c:pt idx="20">
                  <c:v>352666.8358</c:v>
                </c:pt>
                <c:pt idx="21">
                  <c:v>259119.4037</c:v>
                </c:pt>
                <c:pt idx="22">
                  <c:v>247352.74378393</c:v>
                </c:pt>
                <c:pt idx="23">
                  <c:v>239406.67547273001</c:v>
                </c:pt>
                <c:pt idx="24">
                  <c:v>231772.40077782999</c:v>
                </c:pt>
                <c:pt idx="25">
                  <c:v>224011.85934798999</c:v>
                </c:pt>
                <c:pt idx="26">
                  <c:v>217258.34236461</c:v>
                </c:pt>
                <c:pt idx="27">
                  <c:v>215836.91685447001</c:v>
                </c:pt>
                <c:pt idx="28">
                  <c:v>214521.67754462999</c:v>
                </c:pt>
                <c:pt idx="29">
                  <c:v>213290.43493495</c:v>
                </c:pt>
                <c:pt idx="30">
                  <c:v>211455.02256702</c:v>
                </c:pt>
                <c:pt idx="31">
                  <c:v>210997.69671732001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8A-4E33-92CE-53207E6FE0B0}"/>
            </c:ext>
          </c:extLst>
        </c:ser>
        <c:ser>
          <c:idx val="5"/>
          <c:order val="5"/>
          <c:tx>
            <c:strRef>
              <c:f>'Total Emissions'!$B$28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Emissions'!$C$28:$AH$28</c:f>
              <c:numCache>
                <c:formatCode>General</c:formatCode>
                <c:ptCount val="32"/>
                <c:pt idx="0">
                  <c:v>378717.85989999998</c:v>
                </c:pt>
                <c:pt idx="1">
                  <c:v>378717.85989999998</c:v>
                </c:pt>
                <c:pt idx="2">
                  <c:v>378717.85989999998</c:v>
                </c:pt>
                <c:pt idx="3">
                  <c:v>378717.85989999998</c:v>
                </c:pt>
                <c:pt idx="4">
                  <c:v>376081.97399999999</c:v>
                </c:pt>
                <c:pt idx="5">
                  <c:v>368094.02620000002</c:v>
                </c:pt>
                <c:pt idx="6">
                  <c:v>360065.32740000001</c:v>
                </c:pt>
                <c:pt idx="7">
                  <c:v>347442.85230000003</c:v>
                </c:pt>
                <c:pt idx="8">
                  <c:v>334294.80910000001</c:v>
                </c:pt>
                <c:pt idx="9">
                  <c:v>320493.85090000002</c:v>
                </c:pt>
                <c:pt idx="10">
                  <c:v>305072.74099999998</c:v>
                </c:pt>
                <c:pt idx="11">
                  <c:v>288508.90490000002</c:v>
                </c:pt>
                <c:pt idx="12">
                  <c:v>265316.9387</c:v>
                </c:pt>
                <c:pt idx="13">
                  <c:v>238757.5215</c:v>
                </c:pt>
                <c:pt idx="14">
                  <c:v>208185.42910000001</c:v>
                </c:pt>
                <c:pt idx="15">
                  <c:v>172336.18220000001</c:v>
                </c:pt>
                <c:pt idx="16">
                  <c:v>133811.4522</c:v>
                </c:pt>
                <c:pt idx="17">
                  <c:v>111165.9814</c:v>
                </c:pt>
                <c:pt idx="18">
                  <c:v>86560.756999999998</c:v>
                </c:pt>
                <c:pt idx="19">
                  <c:v>60120.818700000003</c:v>
                </c:pt>
                <c:pt idx="20">
                  <c:v>31022.756600000001</c:v>
                </c:pt>
                <c:pt idx="21">
                  <c:v>2354.6084999999998</c:v>
                </c:pt>
                <c:pt idx="22">
                  <c:v>498.15882667400001</c:v>
                </c:pt>
                <c:pt idx="23">
                  <c:v>498.15882667400001</c:v>
                </c:pt>
                <c:pt idx="24">
                  <c:v>498.15882667400001</c:v>
                </c:pt>
                <c:pt idx="25">
                  <c:v>498.15882667400001</c:v>
                </c:pt>
                <c:pt idx="26">
                  <c:v>498.15882667400001</c:v>
                </c:pt>
                <c:pt idx="27">
                  <c:v>498.15882667400001</c:v>
                </c:pt>
                <c:pt idx="28">
                  <c:v>498.15882667400001</c:v>
                </c:pt>
                <c:pt idx="29">
                  <c:v>498.15882667400001</c:v>
                </c:pt>
                <c:pt idx="30">
                  <c:v>498.15882667400001</c:v>
                </c:pt>
                <c:pt idx="31">
                  <c:v>498.15882667400001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8A-4E33-92CE-53207E6FE0B0}"/>
            </c:ext>
          </c:extLst>
        </c:ser>
        <c:ser>
          <c:idx val="6"/>
          <c:order val="6"/>
          <c:tx>
            <c:strRef>
              <c:f>'Total Emissions'!$B$31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Emissions'!$C$31:$AH$31</c:f>
              <c:numCache>
                <c:formatCode>General</c:formatCode>
                <c:ptCount val="32"/>
                <c:pt idx="0">
                  <c:v>221100.7</c:v>
                </c:pt>
                <c:pt idx="1">
                  <c:v>221117.6</c:v>
                </c:pt>
                <c:pt idx="2">
                  <c:v>221611.4</c:v>
                </c:pt>
                <c:pt idx="3">
                  <c:v>221939.6</c:v>
                </c:pt>
                <c:pt idx="4">
                  <c:v>220510</c:v>
                </c:pt>
                <c:pt idx="5">
                  <c:v>215390.3</c:v>
                </c:pt>
                <c:pt idx="6">
                  <c:v>210399.6</c:v>
                </c:pt>
                <c:pt idx="7">
                  <c:v>204449.7</c:v>
                </c:pt>
                <c:pt idx="8">
                  <c:v>198430.9</c:v>
                </c:pt>
                <c:pt idx="9">
                  <c:v>192278.2</c:v>
                </c:pt>
                <c:pt idx="10">
                  <c:v>184046.6</c:v>
                </c:pt>
                <c:pt idx="11">
                  <c:v>128156.3</c:v>
                </c:pt>
                <c:pt idx="12">
                  <c:v>119250.4</c:v>
                </c:pt>
                <c:pt idx="13">
                  <c:v>110719.7</c:v>
                </c:pt>
                <c:pt idx="14">
                  <c:v>102749.7</c:v>
                </c:pt>
                <c:pt idx="15">
                  <c:v>95216.84</c:v>
                </c:pt>
                <c:pt idx="16">
                  <c:v>89360.08</c:v>
                </c:pt>
                <c:pt idx="17">
                  <c:v>84775.19</c:v>
                </c:pt>
                <c:pt idx="18">
                  <c:v>80688.02</c:v>
                </c:pt>
                <c:pt idx="19">
                  <c:v>77073.78</c:v>
                </c:pt>
                <c:pt idx="20">
                  <c:v>73759.95</c:v>
                </c:pt>
                <c:pt idx="21">
                  <c:v>71111.44</c:v>
                </c:pt>
                <c:pt idx="22">
                  <c:v>69546.44</c:v>
                </c:pt>
                <c:pt idx="23">
                  <c:v>68157.850000000006</c:v>
                </c:pt>
                <c:pt idx="24">
                  <c:v>66908.929999999993</c:v>
                </c:pt>
                <c:pt idx="25">
                  <c:v>65716.289999999994</c:v>
                </c:pt>
                <c:pt idx="26">
                  <c:v>52721.760000000002</c:v>
                </c:pt>
                <c:pt idx="27">
                  <c:v>51778.33</c:v>
                </c:pt>
                <c:pt idx="28">
                  <c:v>50876.78</c:v>
                </c:pt>
                <c:pt idx="29">
                  <c:v>50006.21</c:v>
                </c:pt>
                <c:pt idx="30">
                  <c:v>49066.57</c:v>
                </c:pt>
                <c:pt idx="31">
                  <c:v>48338.52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8A-4E33-92CE-53207E6FE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60001"/>
        <c:axId val="50060002"/>
      </c:areaChart>
      <c:catAx>
        <c:axId val="500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60002"/>
        <c:crosses val="autoZero"/>
        <c:auto val="1"/>
        <c:lblAlgn val="ctr"/>
        <c:lblOffset val="100"/>
        <c:tickLblSkip val="2"/>
        <c:noMultiLvlLbl val="0"/>
      </c:catAx>
      <c:valAx>
        <c:axId val="500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6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Energy'!$D$199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Energy'!$D$212:$D$223</c:f>
              <c:numCache>
                <c:formatCode>General</c:formatCode>
                <c:ptCount val="12"/>
                <c:pt idx="6">
                  <c:v>52357190</c:v>
                </c:pt>
                <c:pt idx="7">
                  <c:v>52357190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E-48D2-858B-D0C159A10DA4}"/>
            </c:ext>
          </c:extLst>
        </c:ser>
        <c:ser>
          <c:idx val="1"/>
          <c:order val="1"/>
          <c:tx>
            <c:strRef>
              <c:f>'Total Energy'!$E$199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Energy'!$E$212:$E$223</c:f>
              <c:numCache>
                <c:formatCode>General</c:formatCode>
                <c:ptCount val="12"/>
                <c:pt idx="4">
                  <c:v>62546650</c:v>
                </c:pt>
                <c:pt idx="5">
                  <c:v>0</c:v>
                </c:pt>
                <c:pt idx="6">
                  <c:v>4817770</c:v>
                </c:pt>
                <c:pt idx="7">
                  <c:v>4848435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E-48D2-858B-D0C159A10DA4}"/>
            </c:ext>
          </c:extLst>
        </c:ser>
        <c:ser>
          <c:idx val="2"/>
          <c:order val="2"/>
          <c:tx>
            <c:strRef>
              <c:f>'Total Energy'!$F$199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Energy'!$F$212:$F$223</c:f>
              <c:numCache>
                <c:formatCode>General</c:formatCode>
                <c:ptCount val="12"/>
                <c:pt idx="10">
                  <c:v>216163500</c:v>
                </c:pt>
                <c:pt idx="11">
                  <c:v>104313400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E-48D2-858B-D0C159A10DA4}"/>
            </c:ext>
          </c:extLst>
        </c:ser>
        <c:ser>
          <c:idx val="3"/>
          <c:order val="3"/>
          <c:tx>
            <c:strRef>
              <c:f>'Total Energy'!$G$199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Energy'!$G$212:$G$223</c:f>
              <c:numCache>
                <c:formatCode>General</c:formatCode>
                <c:ptCount val="12"/>
                <c:pt idx="2">
                  <c:v>37540.576000000001</c:v>
                </c:pt>
                <c:pt idx="3">
                  <c:v>26641.70218</c:v>
                </c:pt>
                <c:pt idx="4">
                  <c:v>67140.179999999993</c:v>
                </c:pt>
                <c:pt idx="5">
                  <c:v>0</c:v>
                </c:pt>
                <c:pt idx="6">
                  <c:v>88801676.086999997</c:v>
                </c:pt>
                <c:pt idx="7">
                  <c:v>91403762.086999997</c:v>
                </c:pt>
                <c:pt idx="8">
                  <c:v>4827468</c:v>
                </c:pt>
                <c:pt idx="9">
                  <c:v>1695649.8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0E-48D2-858B-D0C159A10DA4}"/>
            </c:ext>
          </c:extLst>
        </c:ser>
        <c:ser>
          <c:idx val="4"/>
          <c:order val="4"/>
          <c:tx>
            <c:strRef>
              <c:f>'Total Energy'!$H$199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Energy'!$H$212:$H$223</c:f>
              <c:numCache>
                <c:formatCode>General</c:formatCode>
                <c:ptCount val="12"/>
                <c:pt idx="10">
                  <c:v>344926100</c:v>
                </c:pt>
                <c:pt idx="11">
                  <c:v>37755550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0E-48D2-858B-D0C159A10DA4}"/>
            </c:ext>
          </c:extLst>
        </c:ser>
        <c:ser>
          <c:idx val="5"/>
          <c:order val="5"/>
          <c:tx>
            <c:strRef>
              <c:f>'Total Energy'!$I$199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Energy'!$I$212:$I$223</c:f>
              <c:numCache>
                <c:formatCode>General</c:formatCode>
                <c:ptCount val="12"/>
                <c:pt idx="8">
                  <c:v>18826570</c:v>
                </c:pt>
                <c:pt idx="9">
                  <c:v>70790150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0E-48D2-858B-D0C159A10DA4}"/>
            </c:ext>
          </c:extLst>
        </c:ser>
        <c:ser>
          <c:idx val="6"/>
          <c:order val="6"/>
          <c:tx>
            <c:strRef>
              <c:f>'Total Energy'!$J$199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Energy'!$J$212:$J$223</c:f>
              <c:numCache>
                <c:formatCode>General</c:formatCode>
                <c:ptCount val="12"/>
                <c:pt idx="2">
                  <c:v>134139423</c:v>
                </c:pt>
                <c:pt idx="3">
                  <c:v>115351525</c:v>
                </c:pt>
                <c:pt idx="6">
                  <c:v>52488966.5</c:v>
                </c:pt>
                <c:pt idx="7">
                  <c:v>54207612.200000003</c:v>
                </c:pt>
                <c:pt idx="8">
                  <c:v>134071018</c:v>
                </c:pt>
                <c:pt idx="9">
                  <c:v>125936494</c:v>
                </c:pt>
                <c:pt idx="10">
                  <c:v>627353.30000000005</c:v>
                </c:pt>
                <c:pt idx="11">
                  <c:v>98403740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0E-48D2-858B-D0C159A10DA4}"/>
            </c:ext>
          </c:extLst>
        </c:ser>
        <c:ser>
          <c:idx val="7"/>
          <c:order val="7"/>
          <c:tx>
            <c:strRef>
              <c:f>'Total Energy'!$K$199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Energy'!$K$212:$K$223</c:f>
              <c:numCache>
                <c:formatCode>General</c:formatCode>
                <c:ptCount val="12"/>
                <c:pt idx="6">
                  <c:v>0</c:v>
                </c:pt>
                <c:pt idx="7">
                  <c:v>123444.6</c:v>
                </c:pt>
                <c:pt idx="10">
                  <c:v>0</c:v>
                </c:pt>
                <c:pt idx="11">
                  <c:v>15726180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0E-48D2-858B-D0C159A10DA4}"/>
            </c:ext>
          </c:extLst>
        </c:ser>
        <c:ser>
          <c:idx val="8"/>
          <c:order val="8"/>
          <c:tx>
            <c:strRef>
              <c:f>'Total Energy'!$L$199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Energy'!$L$212:$L$223</c:f>
              <c:numCache>
                <c:formatCode>General</c:formatCode>
                <c:ptCount val="12"/>
                <c:pt idx="2">
                  <c:v>258988.23</c:v>
                </c:pt>
                <c:pt idx="3">
                  <c:v>243753.522</c:v>
                </c:pt>
                <c:pt idx="6">
                  <c:v>95302.543000000005</c:v>
                </c:pt>
                <c:pt idx="7">
                  <c:v>104841.28599999999</c:v>
                </c:pt>
                <c:pt idx="8">
                  <c:v>255799.69699999999</c:v>
                </c:pt>
                <c:pt idx="9">
                  <c:v>261495.67300000001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0E-48D2-858B-D0C159A10DA4}"/>
            </c:ext>
          </c:extLst>
        </c:ser>
        <c:ser>
          <c:idx val="9"/>
          <c:order val="9"/>
          <c:tx>
            <c:strRef>
              <c:f>'Total Energy'!$M$199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Energy'!$M$212:$M$223</c:f>
              <c:numCache>
                <c:formatCode>General</c:formatCode>
                <c:ptCount val="12"/>
                <c:pt idx="0">
                  <c:v>7126865.1600000001</c:v>
                </c:pt>
                <c:pt idx="1">
                  <c:v>7126865.1600000001</c:v>
                </c:pt>
                <c:pt idx="2">
                  <c:v>68765769.799999997</c:v>
                </c:pt>
                <c:pt idx="3">
                  <c:v>37346063</c:v>
                </c:pt>
                <c:pt idx="4">
                  <c:v>98959233.789999992</c:v>
                </c:pt>
                <c:pt idx="5">
                  <c:v>22510003.789999999</c:v>
                </c:pt>
                <c:pt idx="6">
                  <c:v>102416770.5</c:v>
                </c:pt>
                <c:pt idx="7">
                  <c:v>104505504.09999999</c:v>
                </c:pt>
                <c:pt idx="8">
                  <c:v>91080825</c:v>
                </c:pt>
                <c:pt idx="9">
                  <c:v>27703429</c:v>
                </c:pt>
                <c:pt idx="10">
                  <c:v>180038.5</c:v>
                </c:pt>
                <c:pt idx="11">
                  <c:v>144030.79999999999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0E-48D2-858B-D0C159A10DA4}"/>
            </c:ext>
          </c:extLst>
        </c:ser>
        <c:ser>
          <c:idx val="10"/>
          <c:order val="10"/>
          <c:tx>
            <c:strRef>
              <c:f>'Total Energy'!$N$199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Energy'!$N$212:$N$223</c:f>
              <c:numCache>
                <c:formatCode>General</c:formatCode>
                <c:ptCount val="12"/>
                <c:pt idx="4">
                  <c:v>64130000.100000001</c:v>
                </c:pt>
                <c:pt idx="5">
                  <c:v>64130000.100000001</c:v>
                </c:pt>
                <c:pt idx="6">
                  <c:v>5057415</c:v>
                </c:pt>
                <c:pt idx="7">
                  <c:v>5228047</c:v>
                </c:pt>
                <c:pt idx="10">
                  <c:v>28239650</c:v>
                </c:pt>
                <c:pt idx="11">
                  <c:v>40194070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E-48D2-858B-D0C159A10DA4}"/>
            </c:ext>
          </c:extLst>
        </c:ser>
        <c:ser>
          <c:idx val="11"/>
          <c:order val="11"/>
          <c:tx>
            <c:strRef>
              <c:f>'Total Energy'!$O$199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Energy'!$O$212:$O$223</c:f>
              <c:numCache>
                <c:formatCode>General</c:formatCode>
                <c:ptCount val="12"/>
                <c:pt idx="2">
                  <c:v>2696164.5</c:v>
                </c:pt>
                <c:pt idx="3">
                  <c:v>1884182.4</c:v>
                </c:pt>
                <c:pt idx="4">
                  <c:v>5220.8217999999997</c:v>
                </c:pt>
                <c:pt idx="5">
                  <c:v>5220.8217999999997</c:v>
                </c:pt>
                <c:pt idx="6">
                  <c:v>4246659.8</c:v>
                </c:pt>
                <c:pt idx="7">
                  <c:v>4388793.3</c:v>
                </c:pt>
                <c:pt idx="8">
                  <c:v>4510368</c:v>
                </c:pt>
                <c:pt idx="9">
                  <c:v>1473138.3</c:v>
                </c:pt>
                <c:pt idx="10">
                  <c:v>89459.839999999997</c:v>
                </c:pt>
                <c:pt idx="11">
                  <c:v>89459.839999999997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0E-48D2-858B-D0C159A10DA4}"/>
            </c:ext>
          </c:extLst>
        </c:ser>
        <c:ser>
          <c:idx val="12"/>
          <c:order val="12"/>
          <c:tx>
            <c:strRef>
              <c:f>'Total Energy'!$P$199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Energy'!$P$212:$P$223</c:f>
              <c:numCache>
                <c:formatCode>General</c:formatCode>
                <c:ptCount val="12"/>
                <c:pt idx="0">
                  <c:v>1750154.2620000001</c:v>
                </c:pt>
                <c:pt idx="1">
                  <c:v>1750154.2620000001</c:v>
                </c:pt>
                <c:pt idx="2">
                  <c:v>55381.48</c:v>
                </c:pt>
                <c:pt idx="3">
                  <c:v>54234.46</c:v>
                </c:pt>
                <c:pt idx="4">
                  <c:v>211382.7</c:v>
                </c:pt>
                <c:pt idx="5">
                  <c:v>107773.3</c:v>
                </c:pt>
                <c:pt idx="10">
                  <c:v>0</c:v>
                </c:pt>
                <c:pt idx="11">
                  <c:v>36007.699999999997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0E-48D2-858B-D0C159A10DA4}"/>
            </c:ext>
          </c:extLst>
        </c:ser>
        <c:ser>
          <c:idx val="13"/>
          <c:order val="13"/>
          <c:tx>
            <c:strRef>
              <c:f>'Total Energy'!$Q$199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Energy'!$Q$212:$Q$223</c:f>
              <c:numCache>
                <c:formatCode>General</c:formatCode>
                <c:ptCount val="12"/>
                <c:pt idx="4">
                  <c:v>437311</c:v>
                </c:pt>
                <c:pt idx="5">
                  <c:v>864144.9</c:v>
                </c:pt>
                <c:pt idx="6">
                  <c:v>4142.027</c:v>
                </c:pt>
                <c:pt idx="7">
                  <c:v>4281.7749999999996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50E-48D2-858B-D0C159A10DA4}"/>
            </c:ext>
          </c:extLst>
        </c:ser>
        <c:ser>
          <c:idx val="14"/>
          <c:order val="14"/>
          <c:tx>
            <c:strRef>
              <c:f>'Total Energy'!$R$199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Energy'!$R$212:$R$223</c:f>
              <c:numCache>
                <c:formatCode>General</c:formatCode>
                <c:ptCount val="12"/>
                <c:pt idx="4">
                  <c:v>62627730</c:v>
                </c:pt>
                <c:pt idx="5">
                  <c:v>61941140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0E-48D2-858B-D0C159A10DA4}"/>
            </c:ext>
          </c:extLst>
        </c:ser>
        <c:ser>
          <c:idx val="15"/>
          <c:order val="15"/>
          <c:tx>
            <c:strRef>
              <c:f>'Total Energy'!$S$199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Energy'!$S$212:$S$223</c:f>
              <c:numCache>
                <c:formatCode>General</c:formatCode>
                <c:ptCount val="12"/>
                <c:pt idx="4">
                  <c:v>363857100</c:v>
                </c:pt>
                <c:pt idx="5">
                  <c:v>353505700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50E-48D2-858B-D0C159A10DA4}"/>
            </c:ext>
          </c:extLst>
        </c:ser>
        <c:ser>
          <c:idx val="16"/>
          <c:order val="16"/>
          <c:tx>
            <c:strRef>
              <c:f>'Total Energy'!$T$199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Energy'!$T$212:$T$223</c:f>
              <c:numCache>
                <c:formatCode>General</c:formatCode>
                <c:ptCount val="12"/>
                <c:pt idx="4">
                  <c:v>43192630</c:v>
                </c:pt>
                <c:pt idx="5">
                  <c:v>45456160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0E-48D2-858B-D0C159A10DA4}"/>
            </c:ext>
          </c:extLst>
        </c:ser>
        <c:ser>
          <c:idx val="17"/>
          <c:order val="17"/>
          <c:tx>
            <c:strRef>
              <c:f>'Total Energy'!$U$199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Energy'!$B$212:$C$223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Energy'!$U$212:$U$223</c:f>
              <c:numCache>
                <c:formatCode>General</c:formatCode>
                <c:ptCount val="12"/>
                <c:pt idx="4">
                  <c:v>4992240</c:v>
                </c:pt>
                <c:pt idx="5">
                  <c:v>4584367</c:v>
                </c:pt>
                <c:pt idx="6">
                  <c:v>114600340</c:v>
                </c:pt>
                <c:pt idx="7">
                  <c:v>116140050</c:v>
                </c:pt>
                <c:pt idx="8">
                  <c:v>6403714</c:v>
                </c:pt>
                <c:pt idx="9">
                  <c:v>1273087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50E-48D2-858B-D0C159A10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00001"/>
        <c:axId val="50600002"/>
      </c:barChart>
      <c:catAx>
        <c:axId val="506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00002"/>
        <c:crosses val="autoZero"/>
        <c:auto val="1"/>
        <c:lblAlgn val="ctr"/>
        <c:lblOffset val="100"/>
        <c:noMultiLvlLbl val="0"/>
      </c:catAx>
      <c:valAx>
        <c:axId val="506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0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Energy'!$D$199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Energy'!$D$224:$D$235</c:f>
              <c:numCache>
                <c:formatCode>General</c:formatCode>
                <c:ptCount val="12"/>
                <c:pt idx="6">
                  <c:v>52357190</c:v>
                </c:pt>
                <c:pt idx="7">
                  <c:v>52357190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C-4549-8DBE-DC589A201CF6}"/>
            </c:ext>
          </c:extLst>
        </c:ser>
        <c:ser>
          <c:idx val="1"/>
          <c:order val="1"/>
          <c:tx>
            <c:strRef>
              <c:f>'Total Energy'!$E$199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Energy'!$E$224:$E$235</c:f>
              <c:numCache>
                <c:formatCode>General</c:formatCode>
                <c:ptCount val="12"/>
                <c:pt idx="4">
                  <c:v>62546650</c:v>
                </c:pt>
                <c:pt idx="5">
                  <c:v>62546650</c:v>
                </c:pt>
                <c:pt idx="6">
                  <c:v>4817770</c:v>
                </c:pt>
                <c:pt idx="7">
                  <c:v>4859191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C-4549-8DBE-DC589A201CF6}"/>
            </c:ext>
          </c:extLst>
        </c:ser>
        <c:ser>
          <c:idx val="2"/>
          <c:order val="2"/>
          <c:tx>
            <c:strRef>
              <c:f>'Total Energy'!$F$199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Energy'!$F$224:$F$235</c:f>
              <c:numCache>
                <c:formatCode>General</c:formatCode>
                <c:ptCount val="12"/>
                <c:pt idx="10">
                  <c:v>216163500</c:v>
                </c:pt>
                <c:pt idx="11">
                  <c:v>205485600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5C-4549-8DBE-DC589A201CF6}"/>
            </c:ext>
          </c:extLst>
        </c:ser>
        <c:ser>
          <c:idx val="3"/>
          <c:order val="3"/>
          <c:tx>
            <c:strRef>
              <c:f>'Total Energy'!$G$199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Energy'!$G$224:$G$235</c:f>
              <c:numCache>
                <c:formatCode>General</c:formatCode>
                <c:ptCount val="12"/>
                <c:pt idx="2">
                  <c:v>37540.576000000001</c:v>
                </c:pt>
                <c:pt idx="3">
                  <c:v>45360.137999999999</c:v>
                </c:pt>
                <c:pt idx="4">
                  <c:v>67140.179999999993</c:v>
                </c:pt>
                <c:pt idx="5">
                  <c:v>67140.179999999993</c:v>
                </c:pt>
                <c:pt idx="6">
                  <c:v>88801676.086999997</c:v>
                </c:pt>
                <c:pt idx="7">
                  <c:v>91437196.086999997</c:v>
                </c:pt>
                <c:pt idx="8">
                  <c:v>4827468</c:v>
                </c:pt>
                <c:pt idx="9">
                  <c:v>4760752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5C-4549-8DBE-DC589A201CF6}"/>
            </c:ext>
          </c:extLst>
        </c:ser>
        <c:ser>
          <c:idx val="4"/>
          <c:order val="4"/>
          <c:tx>
            <c:strRef>
              <c:f>'Total Energy'!$H$199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Energy'!$H$224:$H$235</c:f>
              <c:numCache>
                <c:formatCode>General</c:formatCode>
                <c:ptCount val="12"/>
                <c:pt idx="10">
                  <c:v>344926100</c:v>
                </c:pt>
                <c:pt idx="11">
                  <c:v>285171200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5C-4549-8DBE-DC589A201CF6}"/>
            </c:ext>
          </c:extLst>
        </c:ser>
        <c:ser>
          <c:idx val="5"/>
          <c:order val="5"/>
          <c:tx>
            <c:strRef>
              <c:f>'Total Energy'!$I$199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Energy'!$I$224:$I$235</c:f>
              <c:numCache>
                <c:formatCode>General</c:formatCode>
                <c:ptCount val="12"/>
                <c:pt idx="8">
                  <c:v>18826570</c:v>
                </c:pt>
                <c:pt idx="9">
                  <c:v>18892820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5C-4549-8DBE-DC589A201CF6}"/>
            </c:ext>
          </c:extLst>
        </c:ser>
        <c:ser>
          <c:idx val="6"/>
          <c:order val="6"/>
          <c:tx>
            <c:strRef>
              <c:f>'Total Energy'!$J$199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Energy'!$J$224:$J$235</c:f>
              <c:numCache>
                <c:formatCode>General</c:formatCode>
                <c:ptCount val="12"/>
                <c:pt idx="2">
                  <c:v>134139423</c:v>
                </c:pt>
                <c:pt idx="3">
                  <c:v>151110018</c:v>
                </c:pt>
                <c:pt idx="6">
                  <c:v>52488966.5</c:v>
                </c:pt>
                <c:pt idx="7">
                  <c:v>54222472.100000001</c:v>
                </c:pt>
                <c:pt idx="8">
                  <c:v>134071018</c:v>
                </c:pt>
                <c:pt idx="9">
                  <c:v>151048229</c:v>
                </c:pt>
                <c:pt idx="10">
                  <c:v>627353.30000000005</c:v>
                </c:pt>
                <c:pt idx="11">
                  <c:v>2427427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5C-4549-8DBE-DC589A201CF6}"/>
            </c:ext>
          </c:extLst>
        </c:ser>
        <c:ser>
          <c:idx val="7"/>
          <c:order val="7"/>
          <c:tx>
            <c:strRef>
              <c:f>'Total Energy'!$K$199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Energy'!$K$224:$K$235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8C5C-4549-8DBE-DC589A201CF6}"/>
            </c:ext>
          </c:extLst>
        </c:ser>
        <c:ser>
          <c:idx val="8"/>
          <c:order val="8"/>
          <c:tx>
            <c:strRef>
              <c:f>'Total Energy'!$L$199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Energy'!$L$224:$L$235</c:f>
              <c:numCache>
                <c:formatCode>General</c:formatCode>
                <c:ptCount val="12"/>
                <c:pt idx="2">
                  <c:v>258988.23</c:v>
                </c:pt>
                <c:pt idx="3">
                  <c:v>262202.59999999998</c:v>
                </c:pt>
                <c:pt idx="6">
                  <c:v>95302.543000000005</c:v>
                </c:pt>
                <c:pt idx="7">
                  <c:v>89970.417000000001</c:v>
                </c:pt>
                <c:pt idx="8">
                  <c:v>255799.69699999999</c:v>
                </c:pt>
                <c:pt idx="9">
                  <c:v>257917.43700000001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5C-4549-8DBE-DC589A201CF6}"/>
            </c:ext>
          </c:extLst>
        </c:ser>
        <c:ser>
          <c:idx val="9"/>
          <c:order val="9"/>
          <c:tx>
            <c:strRef>
              <c:f>'Total Energy'!$M$199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Energy'!$M$224:$M$235</c:f>
              <c:numCache>
                <c:formatCode>General</c:formatCode>
                <c:ptCount val="12"/>
                <c:pt idx="0">
                  <c:v>7126865.1600000001</c:v>
                </c:pt>
                <c:pt idx="1">
                  <c:v>7126865.1600000001</c:v>
                </c:pt>
                <c:pt idx="2">
                  <c:v>68765769.799999997</c:v>
                </c:pt>
                <c:pt idx="3">
                  <c:v>64997120.899999999</c:v>
                </c:pt>
                <c:pt idx="4">
                  <c:v>98959233.789999992</c:v>
                </c:pt>
                <c:pt idx="5">
                  <c:v>98959233.789999992</c:v>
                </c:pt>
                <c:pt idx="6">
                  <c:v>102416770.5</c:v>
                </c:pt>
                <c:pt idx="7">
                  <c:v>104713784.09999999</c:v>
                </c:pt>
                <c:pt idx="8">
                  <c:v>91080825</c:v>
                </c:pt>
                <c:pt idx="9">
                  <c:v>92761359</c:v>
                </c:pt>
                <c:pt idx="10">
                  <c:v>180038.5</c:v>
                </c:pt>
                <c:pt idx="11">
                  <c:v>180038.5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5C-4549-8DBE-DC589A201CF6}"/>
            </c:ext>
          </c:extLst>
        </c:ser>
        <c:ser>
          <c:idx val="10"/>
          <c:order val="10"/>
          <c:tx>
            <c:strRef>
              <c:f>'Total Energy'!$N$199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Energy'!$N$224:$N$235</c:f>
              <c:numCache>
                <c:formatCode>General</c:formatCode>
                <c:ptCount val="12"/>
                <c:pt idx="4">
                  <c:v>64130000.100000001</c:v>
                </c:pt>
                <c:pt idx="5">
                  <c:v>64130000.100000001</c:v>
                </c:pt>
                <c:pt idx="6">
                  <c:v>5057415</c:v>
                </c:pt>
                <c:pt idx="7">
                  <c:v>5228047</c:v>
                </c:pt>
                <c:pt idx="10">
                  <c:v>28239650</c:v>
                </c:pt>
                <c:pt idx="11">
                  <c:v>23663060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5C-4549-8DBE-DC589A201CF6}"/>
            </c:ext>
          </c:extLst>
        </c:ser>
        <c:ser>
          <c:idx val="11"/>
          <c:order val="11"/>
          <c:tx>
            <c:strRef>
              <c:f>'Total Energy'!$O$199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Energy'!$O$224:$O$235</c:f>
              <c:numCache>
                <c:formatCode>General</c:formatCode>
                <c:ptCount val="12"/>
                <c:pt idx="2">
                  <c:v>2696164.5</c:v>
                </c:pt>
                <c:pt idx="3">
                  <c:v>2890590.4</c:v>
                </c:pt>
                <c:pt idx="4">
                  <c:v>5220.8217999999997</c:v>
                </c:pt>
                <c:pt idx="5">
                  <c:v>5220.8217999999997</c:v>
                </c:pt>
                <c:pt idx="6">
                  <c:v>4246659.8</c:v>
                </c:pt>
                <c:pt idx="7">
                  <c:v>4388793.3</c:v>
                </c:pt>
                <c:pt idx="8">
                  <c:v>4510368</c:v>
                </c:pt>
                <c:pt idx="9">
                  <c:v>4664835</c:v>
                </c:pt>
                <c:pt idx="10">
                  <c:v>89459.839999999997</c:v>
                </c:pt>
                <c:pt idx="11">
                  <c:v>89459.839999999997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5C-4549-8DBE-DC589A201CF6}"/>
            </c:ext>
          </c:extLst>
        </c:ser>
        <c:ser>
          <c:idx val="12"/>
          <c:order val="12"/>
          <c:tx>
            <c:strRef>
              <c:f>'Total Energy'!$P$199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Energy'!$P$224:$P$235</c:f>
              <c:numCache>
                <c:formatCode>General</c:formatCode>
                <c:ptCount val="12"/>
                <c:pt idx="0">
                  <c:v>1750154.2620000001</c:v>
                </c:pt>
                <c:pt idx="1">
                  <c:v>1750154.2620000001</c:v>
                </c:pt>
                <c:pt idx="2">
                  <c:v>55381.48</c:v>
                </c:pt>
                <c:pt idx="3">
                  <c:v>55381.48</c:v>
                </c:pt>
                <c:pt idx="4">
                  <c:v>211382.7</c:v>
                </c:pt>
                <c:pt idx="5">
                  <c:v>211382.7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5C-4549-8DBE-DC589A201CF6}"/>
            </c:ext>
          </c:extLst>
        </c:ser>
        <c:ser>
          <c:idx val="13"/>
          <c:order val="13"/>
          <c:tx>
            <c:strRef>
              <c:f>'Total Energy'!$Q$199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Energy'!$Q$224:$Q$235</c:f>
              <c:numCache>
                <c:formatCode>General</c:formatCode>
                <c:ptCount val="12"/>
                <c:pt idx="4">
                  <c:v>437311</c:v>
                </c:pt>
                <c:pt idx="5">
                  <c:v>437311.1</c:v>
                </c:pt>
                <c:pt idx="6">
                  <c:v>4142.027</c:v>
                </c:pt>
                <c:pt idx="7">
                  <c:v>4281.7749999999996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5C-4549-8DBE-DC589A201CF6}"/>
            </c:ext>
          </c:extLst>
        </c:ser>
        <c:ser>
          <c:idx val="14"/>
          <c:order val="14"/>
          <c:tx>
            <c:strRef>
              <c:f>'Total Energy'!$R$199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Energy'!$R$224:$R$235</c:f>
              <c:numCache>
                <c:formatCode>General</c:formatCode>
                <c:ptCount val="12"/>
                <c:pt idx="4">
                  <c:v>62627730</c:v>
                </c:pt>
                <c:pt idx="5">
                  <c:v>62627730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5C-4549-8DBE-DC589A201CF6}"/>
            </c:ext>
          </c:extLst>
        </c:ser>
        <c:ser>
          <c:idx val="15"/>
          <c:order val="15"/>
          <c:tx>
            <c:strRef>
              <c:f>'Total Energy'!$S$199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Energy'!$S$224:$S$235</c:f>
              <c:numCache>
                <c:formatCode>General</c:formatCode>
                <c:ptCount val="12"/>
                <c:pt idx="4">
                  <c:v>363857100</c:v>
                </c:pt>
                <c:pt idx="5">
                  <c:v>363857100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C5C-4549-8DBE-DC589A201CF6}"/>
            </c:ext>
          </c:extLst>
        </c:ser>
        <c:ser>
          <c:idx val="16"/>
          <c:order val="16"/>
          <c:tx>
            <c:strRef>
              <c:f>'Total Energy'!$T$199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Energy'!$T$224:$T$235</c:f>
              <c:numCache>
                <c:formatCode>General</c:formatCode>
                <c:ptCount val="12"/>
                <c:pt idx="4">
                  <c:v>43192630</c:v>
                </c:pt>
                <c:pt idx="5">
                  <c:v>43192630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C5C-4549-8DBE-DC589A201CF6}"/>
            </c:ext>
          </c:extLst>
        </c:ser>
        <c:ser>
          <c:idx val="17"/>
          <c:order val="17"/>
          <c:tx>
            <c:strRef>
              <c:f>'Total Energy'!$U$199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Energy'!$B$224:$C$235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Energy'!$U$224:$U$235</c:f>
              <c:numCache>
                <c:formatCode>General</c:formatCode>
                <c:ptCount val="12"/>
                <c:pt idx="4">
                  <c:v>4992240</c:v>
                </c:pt>
                <c:pt idx="5">
                  <c:v>4992240</c:v>
                </c:pt>
                <c:pt idx="6">
                  <c:v>114600340</c:v>
                </c:pt>
                <c:pt idx="7">
                  <c:v>116548720</c:v>
                </c:pt>
                <c:pt idx="8">
                  <c:v>6403714</c:v>
                </c:pt>
                <c:pt idx="9">
                  <c:v>5688009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C5C-4549-8DBE-DC589A201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10001"/>
        <c:axId val="50610002"/>
      </c:barChart>
      <c:catAx>
        <c:axId val="506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10002"/>
        <c:crosses val="autoZero"/>
        <c:auto val="1"/>
        <c:lblAlgn val="ctr"/>
        <c:lblOffset val="100"/>
        <c:noMultiLvlLbl val="0"/>
      </c:catAx>
      <c:valAx>
        <c:axId val="506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1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Energy'!$D$199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Energy'!$D$236:$D$247</c:f>
              <c:numCache>
                <c:formatCode>General</c:formatCode>
                <c:ptCount val="12"/>
                <c:pt idx="6">
                  <c:v>52357190</c:v>
                </c:pt>
                <c:pt idx="7">
                  <c:v>52357184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F74-A163-FA0B6AC5CBFC}"/>
            </c:ext>
          </c:extLst>
        </c:ser>
        <c:ser>
          <c:idx val="1"/>
          <c:order val="1"/>
          <c:tx>
            <c:strRef>
              <c:f>'Total Energy'!$E$199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Energy'!$E$236:$E$247</c:f>
              <c:numCache>
                <c:formatCode>General</c:formatCode>
                <c:ptCount val="12"/>
                <c:pt idx="4">
                  <c:v>62546650</c:v>
                </c:pt>
                <c:pt idx="5">
                  <c:v>0</c:v>
                </c:pt>
                <c:pt idx="6">
                  <c:v>4817770</c:v>
                </c:pt>
                <c:pt idx="7">
                  <c:v>3809297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8D-4F74-A163-FA0B6AC5CBFC}"/>
            </c:ext>
          </c:extLst>
        </c:ser>
        <c:ser>
          <c:idx val="2"/>
          <c:order val="2"/>
          <c:tx>
            <c:strRef>
              <c:f>'Total Energy'!$F$199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Energy'!$F$236:$F$247</c:f>
              <c:numCache>
                <c:formatCode>General</c:formatCode>
                <c:ptCount val="12"/>
                <c:pt idx="10">
                  <c:v>216163500</c:v>
                </c:pt>
                <c:pt idx="11">
                  <c:v>33317610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D-4F74-A163-FA0B6AC5CBFC}"/>
            </c:ext>
          </c:extLst>
        </c:ser>
        <c:ser>
          <c:idx val="3"/>
          <c:order val="3"/>
          <c:tx>
            <c:strRef>
              <c:f>'Total Energy'!$G$199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Energy'!$G$236:$G$247</c:f>
              <c:numCache>
                <c:formatCode>General</c:formatCode>
                <c:ptCount val="12"/>
                <c:pt idx="2">
                  <c:v>37540.576000000001</c:v>
                </c:pt>
                <c:pt idx="3">
                  <c:v>18185.908230000001</c:v>
                </c:pt>
                <c:pt idx="4">
                  <c:v>67140.179999999993</c:v>
                </c:pt>
                <c:pt idx="5">
                  <c:v>0</c:v>
                </c:pt>
                <c:pt idx="6">
                  <c:v>88801676.086999997</c:v>
                </c:pt>
                <c:pt idx="7">
                  <c:v>33484580.087000001</c:v>
                </c:pt>
                <c:pt idx="8">
                  <c:v>4827468</c:v>
                </c:pt>
                <c:pt idx="9">
                  <c:v>8840.1515999999992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8D-4F74-A163-FA0B6AC5CBFC}"/>
            </c:ext>
          </c:extLst>
        </c:ser>
        <c:ser>
          <c:idx val="4"/>
          <c:order val="4"/>
          <c:tx>
            <c:strRef>
              <c:f>'Total Energy'!$H$199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Energy'!$H$236:$H$247</c:f>
              <c:numCache>
                <c:formatCode>General</c:formatCode>
                <c:ptCount val="12"/>
                <c:pt idx="10">
                  <c:v>344926100</c:v>
                </c:pt>
                <c:pt idx="11">
                  <c:v>571681.4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8D-4F74-A163-FA0B6AC5CBFC}"/>
            </c:ext>
          </c:extLst>
        </c:ser>
        <c:ser>
          <c:idx val="5"/>
          <c:order val="5"/>
          <c:tx>
            <c:strRef>
              <c:f>'Total Energy'!$I$199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Energy'!$I$236:$I$247</c:f>
              <c:numCache>
                <c:formatCode>General</c:formatCode>
                <c:ptCount val="12"/>
                <c:pt idx="8">
                  <c:v>18826570</c:v>
                </c:pt>
                <c:pt idx="9">
                  <c:v>51280850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8D-4F74-A163-FA0B6AC5CBFC}"/>
            </c:ext>
          </c:extLst>
        </c:ser>
        <c:ser>
          <c:idx val="6"/>
          <c:order val="6"/>
          <c:tx>
            <c:strRef>
              <c:f>'Total Energy'!$J$199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Energy'!$J$236:$J$247</c:f>
              <c:numCache>
                <c:formatCode>General</c:formatCode>
                <c:ptCount val="12"/>
                <c:pt idx="0">
                  <c:v>0</c:v>
                </c:pt>
                <c:pt idx="1">
                  <c:v>2868770</c:v>
                </c:pt>
                <c:pt idx="2">
                  <c:v>134139423</c:v>
                </c:pt>
                <c:pt idx="3">
                  <c:v>65375708</c:v>
                </c:pt>
                <c:pt idx="4">
                  <c:v>0</c:v>
                </c:pt>
                <c:pt idx="5">
                  <c:v>7537894</c:v>
                </c:pt>
                <c:pt idx="6">
                  <c:v>52488966.5</c:v>
                </c:pt>
                <c:pt idx="7">
                  <c:v>90903937</c:v>
                </c:pt>
                <c:pt idx="8">
                  <c:v>134071018</c:v>
                </c:pt>
                <c:pt idx="9">
                  <c:v>62320201</c:v>
                </c:pt>
                <c:pt idx="10">
                  <c:v>627353.30000000005</c:v>
                </c:pt>
                <c:pt idx="11">
                  <c:v>128676800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8D-4F74-A163-FA0B6AC5CBFC}"/>
            </c:ext>
          </c:extLst>
        </c:ser>
        <c:ser>
          <c:idx val="7"/>
          <c:order val="7"/>
          <c:tx>
            <c:strRef>
              <c:f>'Total Energy'!$K$199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Energy'!$K$236:$K$247</c:f>
              <c:numCache>
                <c:formatCode>General</c:formatCode>
                <c:ptCount val="12"/>
                <c:pt idx="6">
                  <c:v>0</c:v>
                </c:pt>
                <c:pt idx="7">
                  <c:v>123444.6</c:v>
                </c:pt>
                <c:pt idx="10">
                  <c:v>0</c:v>
                </c:pt>
                <c:pt idx="11">
                  <c:v>13367250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8D-4F74-A163-FA0B6AC5CBFC}"/>
            </c:ext>
          </c:extLst>
        </c:ser>
        <c:ser>
          <c:idx val="8"/>
          <c:order val="8"/>
          <c:tx>
            <c:strRef>
              <c:f>'Total Energy'!$L$199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Energy'!$L$236:$L$247</c:f>
              <c:numCache>
                <c:formatCode>General</c:formatCode>
                <c:ptCount val="12"/>
                <c:pt idx="0">
                  <c:v>0</c:v>
                </c:pt>
                <c:pt idx="1">
                  <c:v>870205.5</c:v>
                </c:pt>
                <c:pt idx="2">
                  <c:v>258988.23</c:v>
                </c:pt>
                <c:pt idx="3">
                  <c:v>21049062.100000001</c:v>
                </c:pt>
                <c:pt idx="4">
                  <c:v>0</c:v>
                </c:pt>
                <c:pt idx="5">
                  <c:v>2781478</c:v>
                </c:pt>
                <c:pt idx="6">
                  <c:v>95302.543000000005</c:v>
                </c:pt>
                <c:pt idx="7">
                  <c:v>22468017.399999999</c:v>
                </c:pt>
                <c:pt idx="8">
                  <c:v>255799.69699999999</c:v>
                </c:pt>
                <c:pt idx="9">
                  <c:v>20434654.100000001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8D-4F74-A163-FA0B6AC5CBFC}"/>
            </c:ext>
          </c:extLst>
        </c:ser>
        <c:ser>
          <c:idx val="9"/>
          <c:order val="9"/>
          <c:tx>
            <c:strRef>
              <c:f>'Total Energy'!$M$199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Energy'!$M$236:$M$247</c:f>
              <c:numCache>
                <c:formatCode>General</c:formatCode>
                <c:ptCount val="12"/>
                <c:pt idx="0">
                  <c:v>7126865.1600000001</c:v>
                </c:pt>
                <c:pt idx="1">
                  <c:v>3387889.16</c:v>
                </c:pt>
                <c:pt idx="2">
                  <c:v>68765769.799999997</c:v>
                </c:pt>
                <c:pt idx="3">
                  <c:v>11625863.800000001</c:v>
                </c:pt>
                <c:pt idx="4">
                  <c:v>98959233.789999992</c:v>
                </c:pt>
                <c:pt idx="5">
                  <c:v>8984606.7899999991</c:v>
                </c:pt>
                <c:pt idx="6">
                  <c:v>102416770.5</c:v>
                </c:pt>
                <c:pt idx="7">
                  <c:v>43625220.100000001</c:v>
                </c:pt>
                <c:pt idx="8">
                  <c:v>91080825</c:v>
                </c:pt>
                <c:pt idx="9">
                  <c:v>1887942.82</c:v>
                </c:pt>
                <c:pt idx="10">
                  <c:v>180038.5</c:v>
                </c:pt>
                <c:pt idx="11">
                  <c:v>144030.79999999999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8D-4F74-A163-FA0B6AC5CBFC}"/>
            </c:ext>
          </c:extLst>
        </c:ser>
        <c:ser>
          <c:idx val="10"/>
          <c:order val="10"/>
          <c:tx>
            <c:strRef>
              <c:f>'Total Energy'!$N$199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Energy'!$N$236:$N$247</c:f>
              <c:numCache>
                <c:formatCode>General</c:formatCode>
                <c:ptCount val="12"/>
                <c:pt idx="4">
                  <c:v>64130000.100000001</c:v>
                </c:pt>
                <c:pt idx="5">
                  <c:v>46652280.100000001</c:v>
                </c:pt>
                <c:pt idx="6">
                  <c:v>5057415</c:v>
                </c:pt>
                <c:pt idx="7">
                  <c:v>3665999</c:v>
                </c:pt>
                <c:pt idx="10">
                  <c:v>28239650</c:v>
                </c:pt>
                <c:pt idx="11">
                  <c:v>8606368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38D-4F74-A163-FA0B6AC5CBFC}"/>
            </c:ext>
          </c:extLst>
        </c:ser>
        <c:ser>
          <c:idx val="11"/>
          <c:order val="11"/>
          <c:tx>
            <c:strRef>
              <c:f>'Total Energy'!$O$199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Energy'!$O$236:$O$247</c:f>
              <c:numCache>
                <c:formatCode>General</c:formatCode>
                <c:ptCount val="12"/>
                <c:pt idx="2">
                  <c:v>2696164.5</c:v>
                </c:pt>
                <c:pt idx="3">
                  <c:v>1262233.02</c:v>
                </c:pt>
                <c:pt idx="4">
                  <c:v>5220.8217999999997</c:v>
                </c:pt>
                <c:pt idx="5">
                  <c:v>2244.6558</c:v>
                </c:pt>
                <c:pt idx="6">
                  <c:v>4246659.8</c:v>
                </c:pt>
                <c:pt idx="7">
                  <c:v>1899210.3</c:v>
                </c:pt>
                <c:pt idx="8">
                  <c:v>4510368</c:v>
                </c:pt>
                <c:pt idx="9">
                  <c:v>9956.1809999999987</c:v>
                </c:pt>
                <c:pt idx="10">
                  <c:v>89459.839999999997</c:v>
                </c:pt>
                <c:pt idx="11">
                  <c:v>89459.839999999997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8D-4F74-A163-FA0B6AC5CBFC}"/>
            </c:ext>
          </c:extLst>
        </c:ser>
        <c:ser>
          <c:idx val="12"/>
          <c:order val="12"/>
          <c:tx>
            <c:strRef>
              <c:f>'Total Energy'!$P$199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Energy'!$P$236:$P$247</c:f>
              <c:numCache>
                <c:formatCode>General</c:formatCode>
                <c:ptCount val="12"/>
                <c:pt idx="0">
                  <c:v>1750154.2620000001</c:v>
                </c:pt>
                <c:pt idx="1">
                  <c:v>1750154.2620000001</c:v>
                </c:pt>
                <c:pt idx="2">
                  <c:v>55381.48</c:v>
                </c:pt>
                <c:pt idx="3">
                  <c:v>36879.56</c:v>
                </c:pt>
                <c:pt idx="4">
                  <c:v>211382.7</c:v>
                </c:pt>
                <c:pt idx="5">
                  <c:v>101173.9</c:v>
                </c:pt>
                <c:pt idx="10">
                  <c:v>0</c:v>
                </c:pt>
                <c:pt idx="11">
                  <c:v>36007.699999999997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38D-4F74-A163-FA0B6AC5CBFC}"/>
            </c:ext>
          </c:extLst>
        </c:ser>
        <c:ser>
          <c:idx val="13"/>
          <c:order val="13"/>
          <c:tx>
            <c:strRef>
              <c:f>'Total Energy'!$Q$199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Energy'!$Q$236:$Q$247</c:f>
              <c:numCache>
                <c:formatCode>General</c:formatCode>
                <c:ptCount val="12"/>
                <c:pt idx="4">
                  <c:v>437311</c:v>
                </c:pt>
                <c:pt idx="5">
                  <c:v>849921.7</c:v>
                </c:pt>
                <c:pt idx="6">
                  <c:v>4142.027</c:v>
                </c:pt>
                <c:pt idx="7">
                  <c:v>4203.4390000000003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38D-4F74-A163-FA0B6AC5CBFC}"/>
            </c:ext>
          </c:extLst>
        </c:ser>
        <c:ser>
          <c:idx val="14"/>
          <c:order val="14"/>
          <c:tx>
            <c:strRef>
              <c:f>'Total Energy'!$R$199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Energy'!$R$236:$R$247</c:f>
              <c:numCache>
                <c:formatCode>General</c:formatCode>
                <c:ptCount val="12"/>
                <c:pt idx="4">
                  <c:v>62627730</c:v>
                </c:pt>
                <c:pt idx="5">
                  <c:v>60468120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8D-4F74-A163-FA0B6AC5CBFC}"/>
            </c:ext>
          </c:extLst>
        </c:ser>
        <c:ser>
          <c:idx val="15"/>
          <c:order val="15"/>
          <c:tx>
            <c:strRef>
              <c:f>'Total Energy'!$S$199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Energy'!$S$236:$S$247</c:f>
              <c:numCache>
                <c:formatCode>General</c:formatCode>
                <c:ptCount val="12"/>
                <c:pt idx="4">
                  <c:v>363857100</c:v>
                </c:pt>
                <c:pt idx="5">
                  <c:v>344097400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38D-4F74-A163-FA0B6AC5CBFC}"/>
            </c:ext>
          </c:extLst>
        </c:ser>
        <c:ser>
          <c:idx val="16"/>
          <c:order val="16"/>
          <c:tx>
            <c:strRef>
              <c:f>'Total Energy'!$T$199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Energy'!$T$236:$T$247</c:f>
              <c:numCache>
                <c:formatCode>General</c:formatCode>
                <c:ptCount val="12"/>
                <c:pt idx="4">
                  <c:v>43192630</c:v>
                </c:pt>
                <c:pt idx="5">
                  <c:v>44510120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38D-4F74-A163-FA0B6AC5CBFC}"/>
            </c:ext>
          </c:extLst>
        </c:ser>
        <c:ser>
          <c:idx val="17"/>
          <c:order val="17"/>
          <c:tx>
            <c:strRef>
              <c:f>'Total Energy'!$U$199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Energy'!$B$236:$C$247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Energy'!$U$236:$U$247</c:f>
              <c:numCache>
                <c:formatCode>General</c:formatCode>
                <c:ptCount val="12"/>
                <c:pt idx="4">
                  <c:v>4992240</c:v>
                </c:pt>
                <c:pt idx="5">
                  <c:v>4473305</c:v>
                </c:pt>
                <c:pt idx="6">
                  <c:v>114600340</c:v>
                </c:pt>
                <c:pt idx="7">
                  <c:v>86876040</c:v>
                </c:pt>
                <c:pt idx="8">
                  <c:v>6403714</c:v>
                </c:pt>
                <c:pt idx="9">
                  <c:v>13510.42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38D-4F74-A163-FA0B6AC5C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20001"/>
        <c:axId val="50620002"/>
      </c:barChart>
      <c:catAx>
        <c:axId val="506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20002"/>
        <c:crosses val="autoZero"/>
        <c:auto val="1"/>
        <c:lblAlgn val="ctr"/>
        <c:lblOffset val="100"/>
        <c:noMultiLvlLbl val="0"/>
      </c:catAx>
      <c:valAx>
        <c:axId val="506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Energy'!$D$199</c:f>
              <c:strCache>
                <c:ptCount val="1"/>
                <c:pt idx="0">
                  <c:v>Chp</c:v>
                </c:pt>
              </c:strCache>
            </c:strRef>
          </c:tx>
          <c:spPr>
            <a:solidFill>
              <a:srgbClr val="0F583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Energy'!$D$248:$D$259</c:f>
              <c:numCache>
                <c:formatCode>General</c:formatCode>
                <c:ptCount val="12"/>
                <c:pt idx="6">
                  <c:v>52357190</c:v>
                </c:pt>
                <c:pt idx="7">
                  <c:v>52357184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D-4F2B-BEC2-35E10454EC6D}"/>
            </c:ext>
          </c:extLst>
        </c:ser>
        <c:ser>
          <c:idx val="1"/>
          <c:order val="1"/>
          <c:tx>
            <c:strRef>
              <c:f>'Total Energy'!$E$199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000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Energy'!$E$248:$E$259</c:f>
              <c:numCache>
                <c:formatCode>General</c:formatCode>
                <c:ptCount val="12"/>
                <c:pt idx="4">
                  <c:v>62546650</c:v>
                </c:pt>
                <c:pt idx="5">
                  <c:v>0</c:v>
                </c:pt>
                <c:pt idx="6">
                  <c:v>4817770</c:v>
                </c:pt>
                <c:pt idx="7">
                  <c:v>2071817.1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D-4F2B-BEC2-35E10454EC6D}"/>
            </c:ext>
          </c:extLst>
        </c:ser>
        <c:ser>
          <c:idx val="2"/>
          <c:order val="2"/>
          <c:tx>
            <c:strRef>
              <c:f>'Total Energy'!$F$199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Energy'!$F$248:$F$259</c:f>
              <c:numCache>
                <c:formatCode>General</c:formatCode>
                <c:ptCount val="12"/>
                <c:pt idx="10">
                  <c:v>216163500</c:v>
                </c:pt>
                <c:pt idx="11">
                  <c:v>33317610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7D-4F2B-BEC2-35E10454EC6D}"/>
            </c:ext>
          </c:extLst>
        </c:ser>
        <c:ser>
          <c:idx val="3"/>
          <c:order val="3"/>
          <c:tx>
            <c:strRef>
              <c:f>'Total Energy'!$G$199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Energy'!$G$248:$G$259</c:f>
              <c:numCache>
                <c:formatCode>General</c:formatCode>
                <c:ptCount val="12"/>
                <c:pt idx="2">
                  <c:v>37540.576000000001</c:v>
                </c:pt>
                <c:pt idx="3">
                  <c:v>18185.908230000001</c:v>
                </c:pt>
                <c:pt idx="4">
                  <c:v>67140.179999999993</c:v>
                </c:pt>
                <c:pt idx="5">
                  <c:v>0</c:v>
                </c:pt>
                <c:pt idx="6">
                  <c:v>88801676.086999997</c:v>
                </c:pt>
                <c:pt idx="7">
                  <c:v>23898670.087000001</c:v>
                </c:pt>
                <c:pt idx="8">
                  <c:v>4827468</c:v>
                </c:pt>
                <c:pt idx="9">
                  <c:v>8840.1515999999992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D-4F2B-BEC2-35E10454EC6D}"/>
            </c:ext>
          </c:extLst>
        </c:ser>
        <c:ser>
          <c:idx val="4"/>
          <c:order val="4"/>
          <c:tx>
            <c:strRef>
              <c:f>'Total Energy'!$H$199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Energy'!$H$248:$H$259</c:f>
              <c:numCache>
                <c:formatCode>General</c:formatCode>
                <c:ptCount val="12"/>
                <c:pt idx="10">
                  <c:v>344926100</c:v>
                </c:pt>
                <c:pt idx="11">
                  <c:v>571681.4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7D-4F2B-BEC2-35E10454EC6D}"/>
            </c:ext>
          </c:extLst>
        </c:ser>
        <c:ser>
          <c:idx val="5"/>
          <c:order val="5"/>
          <c:tx>
            <c:strRef>
              <c:f>'Total Energy'!$I$199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Energy'!$I$248:$I$259</c:f>
              <c:numCache>
                <c:formatCode>General</c:formatCode>
                <c:ptCount val="12"/>
                <c:pt idx="8">
                  <c:v>18826570</c:v>
                </c:pt>
                <c:pt idx="9">
                  <c:v>51280850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7D-4F2B-BEC2-35E10454EC6D}"/>
            </c:ext>
          </c:extLst>
        </c:ser>
        <c:ser>
          <c:idx val="6"/>
          <c:order val="6"/>
          <c:tx>
            <c:strRef>
              <c:f>'Total Energy'!$J$199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Energy'!$J$248:$J$259</c:f>
              <c:numCache>
                <c:formatCode>General</c:formatCode>
                <c:ptCount val="12"/>
                <c:pt idx="2">
                  <c:v>134139423</c:v>
                </c:pt>
                <c:pt idx="3">
                  <c:v>58124409</c:v>
                </c:pt>
                <c:pt idx="6">
                  <c:v>52488966.5</c:v>
                </c:pt>
                <c:pt idx="7">
                  <c:v>143603386.90000001</c:v>
                </c:pt>
                <c:pt idx="8">
                  <c:v>134071018</c:v>
                </c:pt>
                <c:pt idx="9">
                  <c:v>55504589</c:v>
                </c:pt>
                <c:pt idx="10">
                  <c:v>627353.30000000005</c:v>
                </c:pt>
                <c:pt idx="11">
                  <c:v>77494430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7D-4F2B-BEC2-35E10454EC6D}"/>
            </c:ext>
          </c:extLst>
        </c:ser>
        <c:ser>
          <c:idx val="7"/>
          <c:order val="7"/>
          <c:tx>
            <c:strRef>
              <c:f>'Total Energy'!$K$199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FF573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Energy'!$K$248:$K$259</c:f>
              <c:numCache>
                <c:formatCode>General</c:formatCode>
                <c:ptCount val="12"/>
                <c:pt idx="0">
                  <c:v>0</c:v>
                </c:pt>
                <c:pt idx="1">
                  <c:v>1069030.2309999999</c:v>
                </c:pt>
                <c:pt idx="2">
                  <c:v>0</c:v>
                </c:pt>
                <c:pt idx="3">
                  <c:v>1743879.69</c:v>
                </c:pt>
                <c:pt idx="4">
                  <c:v>0</c:v>
                </c:pt>
                <c:pt idx="5">
                  <c:v>7669052.068</c:v>
                </c:pt>
                <c:pt idx="6">
                  <c:v>0</c:v>
                </c:pt>
                <c:pt idx="7">
                  <c:v>95287785.920000002</c:v>
                </c:pt>
                <c:pt idx="8">
                  <c:v>0</c:v>
                </c:pt>
                <c:pt idx="9">
                  <c:v>283191.37800000003</c:v>
                </c:pt>
                <c:pt idx="10">
                  <c:v>0</c:v>
                </c:pt>
                <c:pt idx="11">
                  <c:v>53338420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7D-4F2B-BEC2-35E10454EC6D}"/>
            </c:ext>
          </c:extLst>
        </c:ser>
        <c:ser>
          <c:idx val="8"/>
          <c:order val="8"/>
          <c:tx>
            <c:strRef>
              <c:f>'Total Energy'!$L$199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Energy'!$L$248:$L$259</c:f>
              <c:numCache>
                <c:formatCode>General</c:formatCode>
                <c:ptCount val="12"/>
                <c:pt idx="2">
                  <c:v>258988.23</c:v>
                </c:pt>
                <c:pt idx="3">
                  <c:v>28300362.5</c:v>
                </c:pt>
                <c:pt idx="6">
                  <c:v>95302.543000000005</c:v>
                </c:pt>
                <c:pt idx="7">
                  <c:v>12038430.1</c:v>
                </c:pt>
                <c:pt idx="8">
                  <c:v>255799.69699999999</c:v>
                </c:pt>
                <c:pt idx="9">
                  <c:v>27250269.300000001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7D-4F2B-BEC2-35E10454EC6D}"/>
            </c:ext>
          </c:extLst>
        </c:ser>
        <c:ser>
          <c:idx val="9"/>
          <c:order val="9"/>
          <c:tx>
            <c:strRef>
              <c:f>'Total Energy'!$M$199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Energy'!$M$248:$M$259</c:f>
              <c:numCache>
                <c:formatCode>General</c:formatCode>
                <c:ptCount val="12"/>
                <c:pt idx="0">
                  <c:v>7126865.1600000001</c:v>
                </c:pt>
                <c:pt idx="1">
                  <c:v>0.16991769100000001</c:v>
                </c:pt>
                <c:pt idx="2">
                  <c:v>68765769.799999997</c:v>
                </c:pt>
                <c:pt idx="3">
                  <c:v>0.27718221799999998</c:v>
                </c:pt>
                <c:pt idx="4">
                  <c:v>98959233.789999992</c:v>
                </c:pt>
                <c:pt idx="5">
                  <c:v>0.3263640974</c:v>
                </c:pt>
                <c:pt idx="6">
                  <c:v>102416770.5</c:v>
                </c:pt>
                <c:pt idx="7">
                  <c:v>0.81677234100000007</c:v>
                </c:pt>
                <c:pt idx="8">
                  <c:v>91080825</c:v>
                </c:pt>
                <c:pt idx="9">
                  <c:v>4.5012060600000001E-2</c:v>
                </c:pt>
                <c:pt idx="10">
                  <c:v>180038.5</c:v>
                </c:pt>
                <c:pt idx="11">
                  <c:v>144030.79999999999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7D-4F2B-BEC2-35E10454EC6D}"/>
            </c:ext>
          </c:extLst>
        </c:ser>
        <c:ser>
          <c:idx val="10"/>
          <c:order val="10"/>
          <c:tx>
            <c:strRef>
              <c:f>'Total Energy'!$N$199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CBCED2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Energy'!$N$248:$N$259</c:f>
              <c:numCache>
                <c:formatCode>General</c:formatCode>
                <c:ptCount val="12"/>
                <c:pt idx="4">
                  <c:v>64130000.100000001</c:v>
                </c:pt>
                <c:pt idx="5">
                  <c:v>46652280.100000001</c:v>
                </c:pt>
                <c:pt idx="6">
                  <c:v>5057415</c:v>
                </c:pt>
                <c:pt idx="7">
                  <c:v>3665999</c:v>
                </c:pt>
                <c:pt idx="10">
                  <c:v>28239650</c:v>
                </c:pt>
                <c:pt idx="11">
                  <c:v>8606368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7D-4F2B-BEC2-35E10454EC6D}"/>
            </c:ext>
          </c:extLst>
        </c:ser>
        <c:ser>
          <c:idx val="11"/>
          <c:order val="11"/>
          <c:tx>
            <c:strRef>
              <c:f>'Total Energy'!$O$199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Energy'!$O$248:$O$259</c:f>
              <c:numCache>
                <c:formatCode>General</c:formatCode>
                <c:ptCount val="12"/>
                <c:pt idx="2">
                  <c:v>2696164.5</c:v>
                </c:pt>
                <c:pt idx="3">
                  <c:v>1262233.02</c:v>
                </c:pt>
                <c:pt idx="4">
                  <c:v>5220.8217999999997</c:v>
                </c:pt>
                <c:pt idx="5">
                  <c:v>1774.7346</c:v>
                </c:pt>
                <c:pt idx="6">
                  <c:v>4246659.8</c:v>
                </c:pt>
                <c:pt idx="7">
                  <c:v>1516625.9</c:v>
                </c:pt>
                <c:pt idx="8">
                  <c:v>4510368</c:v>
                </c:pt>
                <c:pt idx="9">
                  <c:v>9956.1809999999987</c:v>
                </c:pt>
                <c:pt idx="10">
                  <c:v>89459.839999999997</c:v>
                </c:pt>
                <c:pt idx="11">
                  <c:v>89459.839999999997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7D-4F2B-BEC2-35E10454EC6D}"/>
            </c:ext>
          </c:extLst>
        </c:ser>
        <c:ser>
          <c:idx val="12"/>
          <c:order val="12"/>
          <c:tx>
            <c:strRef>
              <c:f>'Total Energy'!$P$199</c:f>
              <c:strCache>
                <c:ptCount val="1"/>
                <c:pt idx="0">
                  <c:v>RNG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Energy'!$P$248:$P$259</c:f>
              <c:numCache>
                <c:formatCode>General</c:formatCode>
                <c:ptCount val="12"/>
                <c:pt idx="0">
                  <c:v>1750154.2620000001</c:v>
                </c:pt>
                <c:pt idx="1">
                  <c:v>7807990.2599999998</c:v>
                </c:pt>
                <c:pt idx="2">
                  <c:v>55381.48</c:v>
                </c:pt>
                <c:pt idx="3">
                  <c:v>9918864.4000000004</c:v>
                </c:pt>
                <c:pt idx="4">
                  <c:v>211382.7</c:v>
                </c:pt>
                <c:pt idx="5">
                  <c:v>11736573.68</c:v>
                </c:pt>
                <c:pt idx="6">
                  <c:v>0</c:v>
                </c:pt>
                <c:pt idx="7">
                  <c:v>29119229.300000001</c:v>
                </c:pt>
                <c:pt idx="8">
                  <c:v>0</c:v>
                </c:pt>
                <c:pt idx="9">
                  <c:v>1604751.64</c:v>
                </c:pt>
                <c:pt idx="10">
                  <c:v>0</c:v>
                </c:pt>
                <c:pt idx="11">
                  <c:v>25677710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7D-4F2B-BEC2-35E10454EC6D}"/>
            </c:ext>
          </c:extLst>
        </c:ser>
        <c:ser>
          <c:idx val="13"/>
          <c:order val="13"/>
          <c:tx>
            <c:strRef>
              <c:f>'Total Energy'!$Q$199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Energy'!$Q$248:$Q$259</c:f>
              <c:numCache>
                <c:formatCode>General</c:formatCode>
                <c:ptCount val="12"/>
                <c:pt idx="4">
                  <c:v>437311</c:v>
                </c:pt>
                <c:pt idx="5">
                  <c:v>849921.7</c:v>
                </c:pt>
                <c:pt idx="6">
                  <c:v>4142.027</c:v>
                </c:pt>
                <c:pt idx="7">
                  <c:v>4203.4390000000003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17D-4F2B-BEC2-35E10454EC6D}"/>
            </c:ext>
          </c:extLst>
        </c:ser>
        <c:ser>
          <c:idx val="14"/>
          <c:order val="14"/>
          <c:tx>
            <c:strRef>
              <c:f>'Total Energy'!$R$199</c:f>
              <c:strCache>
                <c:ptCount val="1"/>
                <c:pt idx="0">
                  <c:v>Uranium</c:v>
                </c:pt>
              </c:strCache>
            </c:strRef>
          </c:tx>
          <c:spPr>
            <a:solidFill>
              <a:srgbClr val="9500FB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Energy'!$R$248:$R$259</c:f>
              <c:numCache>
                <c:formatCode>General</c:formatCode>
                <c:ptCount val="12"/>
                <c:pt idx="4">
                  <c:v>62627730</c:v>
                </c:pt>
                <c:pt idx="5">
                  <c:v>60468120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7D-4F2B-BEC2-35E10454EC6D}"/>
            </c:ext>
          </c:extLst>
        </c:ser>
        <c:ser>
          <c:idx val="15"/>
          <c:order val="15"/>
          <c:tx>
            <c:strRef>
              <c:f>'Total Energy'!$S$199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rgbClr val="27E6F5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Energy'!$S$248:$S$259</c:f>
              <c:numCache>
                <c:formatCode>General</c:formatCode>
                <c:ptCount val="12"/>
                <c:pt idx="4">
                  <c:v>363857100</c:v>
                </c:pt>
                <c:pt idx="5">
                  <c:v>344097500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17D-4F2B-BEC2-35E10454EC6D}"/>
            </c:ext>
          </c:extLst>
        </c:ser>
        <c:ser>
          <c:idx val="16"/>
          <c:order val="16"/>
          <c:tx>
            <c:strRef>
              <c:f>'Total Energy'!$T$199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A293C7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Energy'!$T$248:$T$259</c:f>
              <c:numCache>
                <c:formatCode>General</c:formatCode>
                <c:ptCount val="12"/>
                <c:pt idx="4">
                  <c:v>43192630</c:v>
                </c:pt>
                <c:pt idx="5">
                  <c:v>44510130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17D-4F2B-BEC2-35E10454EC6D}"/>
            </c:ext>
          </c:extLst>
        </c:ser>
        <c:ser>
          <c:idx val="17"/>
          <c:order val="17"/>
          <c:tx>
            <c:strRef>
              <c:f>'Total Energy'!$U$199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21D38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'Total Energy'!$B$248:$C$259</c:f>
              <c:multiLvlStrCache>
                <c:ptCount val="12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  <c:pt idx="8">
                    <c:v>2019</c:v>
                  </c:pt>
                  <c:pt idx="9">
                    <c:v>2050</c:v>
                  </c:pt>
                  <c:pt idx="10">
                    <c:v>2019</c:v>
                  </c:pt>
                  <c:pt idx="11">
                    <c:v>2050</c:v>
                  </c:pt>
                </c:lvl>
                <c:lvl>
                  <c:pt idx="0">
                    <c:v>Agriculture</c:v>
                  </c:pt>
                  <c:pt idx="2">
                    <c:v>Commercial</c:v>
                  </c:pt>
                  <c:pt idx="4">
                    <c:v>Energy Production</c:v>
                  </c:pt>
                  <c:pt idx="6">
                    <c:v>Industrial</c:v>
                  </c:pt>
                  <c:pt idx="8">
                    <c:v>Residential</c:v>
                  </c:pt>
                  <c:pt idx="10">
                    <c:v>Transportation</c:v>
                  </c:pt>
                </c:lvl>
              </c:multiLvlStrCache>
            </c:multiLvlStrRef>
          </c:cat>
          <c:val>
            <c:numRef>
              <c:f>'Total Energy'!$U$248:$U$259</c:f>
              <c:numCache>
                <c:formatCode>General</c:formatCode>
                <c:ptCount val="12"/>
                <c:pt idx="4">
                  <c:v>4992240</c:v>
                </c:pt>
                <c:pt idx="5">
                  <c:v>4473305</c:v>
                </c:pt>
                <c:pt idx="6">
                  <c:v>114600340</c:v>
                </c:pt>
                <c:pt idx="7">
                  <c:v>86876040</c:v>
                </c:pt>
                <c:pt idx="8">
                  <c:v>6403714</c:v>
                </c:pt>
                <c:pt idx="9">
                  <c:v>13510.42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7D-4F2B-BEC2-35E10454E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30001"/>
        <c:axId val="50630002"/>
      </c:barChart>
      <c:catAx>
        <c:axId val="506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30002"/>
        <c:crosses val="autoZero"/>
        <c:auto val="1"/>
        <c:lblAlgn val="ctr"/>
        <c:lblOffset val="100"/>
        <c:noMultiLvlLbl val="0"/>
      </c:catAx>
      <c:valAx>
        <c:axId val="506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3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'Per Capita Energy'!$A$4</c:f>
              <c:strCache>
                <c:ptCount val="1"/>
                <c:pt idx="0">
                  <c:v>AltFuels</c:v>
                </c:pt>
              </c:strCache>
            </c:strRef>
          </c:tx>
          <c:spPr>
            <a:ln w="15875">
              <a:solidFill>
                <a:srgbClr val="203564"/>
              </a:solidFill>
            </a:ln>
          </c:spPr>
          <c:marker>
            <c:symbol val="none"/>
          </c:marker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Energy'!$B$4:$AG$4</c:f>
              <c:numCache>
                <c:formatCode>General</c:formatCode>
                <c:ptCount val="32"/>
                <c:pt idx="0">
                  <c:v>287.71839999999997</c:v>
                </c:pt>
                <c:pt idx="1">
                  <c:v>283.1105</c:v>
                </c:pt>
                <c:pt idx="2">
                  <c:v>278.31349999999998</c:v>
                </c:pt>
                <c:pt idx="3">
                  <c:v>274.09129999999999</c:v>
                </c:pt>
                <c:pt idx="4">
                  <c:v>269.84820000000002</c:v>
                </c:pt>
                <c:pt idx="5">
                  <c:v>264.5641</c:v>
                </c:pt>
                <c:pt idx="6">
                  <c:v>252.036</c:v>
                </c:pt>
                <c:pt idx="7">
                  <c:v>245.70179999999999</c:v>
                </c:pt>
                <c:pt idx="8">
                  <c:v>239.29050000000001</c:v>
                </c:pt>
                <c:pt idx="9">
                  <c:v>232.90350000000001</c:v>
                </c:pt>
                <c:pt idx="10">
                  <c:v>226.42009999999999</c:v>
                </c:pt>
                <c:pt idx="11">
                  <c:v>210.91929999999999</c:v>
                </c:pt>
                <c:pt idx="12">
                  <c:v>205.66890000000001</c:v>
                </c:pt>
                <c:pt idx="13">
                  <c:v>200.73159999999999</c:v>
                </c:pt>
                <c:pt idx="14">
                  <c:v>195.96010000000001</c:v>
                </c:pt>
                <c:pt idx="15">
                  <c:v>190.89519999999999</c:v>
                </c:pt>
                <c:pt idx="16">
                  <c:v>186.51519999999999</c:v>
                </c:pt>
                <c:pt idx="17">
                  <c:v>181.9984</c:v>
                </c:pt>
                <c:pt idx="18">
                  <c:v>177.50880000000001</c:v>
                </c:pt>
                <c:pt idx="19">
                  <c:v>173.0796</c:v>
                </c:pt>
                <c:pt idx="20">
                  <c:v>168.71129999999999</c:v>
                </c:pt>
                <c:pt idx="21">
                  <c:v>164.62049999999999</c:v>
                </c:pt>
                <c:pt idx="22">
                  <c:v>162.26820000000001</c:v>
                </c:pt>
                <c:pt idx="23">
                  <c:v>160.16909999999999</c:v>
                </c:pt>
                <c:pt idx="24">
                  <c:v>158.21530000000001</c:v>
                </c:pt>
                <c:pt idx="25">
                  <c:v>156.3717</c:v>
                </c:pt>
                <c:pt idx="26">
                  <c:v>152.61240000000001</c:v>
                </c:pt>
                <c:pt idx="27">
                  <c:v>151.0566</c:v>
                </c:pt>
                <c:pt idx="28">
                  <c:v>149.59180000000001</c:v>
                </c:pt>
                <c:pt idx="29">
                  <c:v>148.20269999999999</c:v>
                </c:pt>
                <c:pt idx="30">
                  <c:v>146.82</c:v>
                </c:pt>
                <c:pt idx="31">
                  <c:v>145.6181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A-4155-9062-3D6664EC5705}"/>
            </c:ext>
          </c:extLst>
        </c:ser>
        <c:ser>
          <c:idx val="1"/>
          <c:order val="1"/>
          <c:marker>
            <c:symbol val="circle"/>
            <c:size val="6"/>
            <c:spPr>
              <a:solidFill>
                <a:srgbClr val="203564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Energy'!$B$4,'Per Capita Energy'!$B$2:$AF$2,'Per Capita Energy'!$AG$4)</c:f>
              <c:numCache>
                <c:formatCode>General</c:formatCode>
                <c:ptCount val="33"/>
                <c:pt idx="0">
                  <c:v>287.71839999999997</c:v>
                </c:pt>
                <c:pt idx="32">
                  <c:v>145.6181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A-4155-9062-3D6664EC5705}"/>
            </c:ext>
          </c:extLst>
        </c:ser>
        <c:ser>
          <c:idx val="2"/>
          <c:order val="2"/>
          <c:tx>
            <c:strRef>
              <c:f>'Per Capita Energy'!$A$5</c:f>
              <c:strCache>
                <c:ptCount val="1"/>
                <c:pt idx="0">
                  <c:v>BAP</c:v>
                </c:pt>
              </c:strCache>
            </c:strRef>
          </c:tx>
          <c:spPr>
            <a:ln w="15875">
              <a:solidFill>
                <a:srgbClr val="43AD4C"/>
              </a:solidFill>
            </a:ln>
          </c:spPr>
          <c:marker>
            <c:symbol val="none"/>
          </c:marker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Energy'!$B$5:$AG$5</c:f>
              <c:numCache>
                <c:formatCode>General</c:formatCode>
                <c:ptCount val="32"/>
                <c:pt idx="0">
                  <c:v>287.71839999999997</c:v>
                </c:pt>
                <c:pt idx="1">
                  <c:v>283.0616</c:v>
                </c:pt>
                <c:pt idx="2">
                  <c:v>279.64920000000001</c:v>
                </c:pt>
                <c:pt idx="3">
                  <c:v>276.01760000000002</c:v>
                </c:pt>
                <c:pt idx="4">
                  <c:v>272.6653</c:v>
                </c:pt>
                <c:pt idx="5">
                  <c:v>268.26069999999999</c:v>
                </c:pt>
                <c:pt idx="6">
                  <c:v>257.23950000000002</c:v>
                </c:pt>
                <c:pt idx="7">
                  <c:v>252.4786</c:v>
                </c:pt>
                <c:pt idx="8">
                  <c:v>247.60990000000001</c:v>
                </c:pt>
                <c:pt idx="9">
                  <c:v>242.74590000000001</c:v>
                </c:pt>
                <c:pt idx="10">
                  <c:v>237.9084</c:v>
                </c:pt>
                <c:pt idx="11">
                  <c:v>224.15170000000001</c:v>
                </c:pt>
                <c:pt idx="12">
                  <c:v>220.43600000000001</c:v>
                </c:pt>
                <c:pt idx="13">
                  <c:v>217.1121</c:v>
                </c:pt>
                <c:pt idx="14">
                  <c:v>214.00299999999999</c:v>
                </c:pt>
                <c:pt idx="15">
                  <c:v>210.50399999999999</c:v>
                </c:pt>
                <c:pt idx="16">
                  <c:v>207.8245</c:v>
                </c:pt>
                <c:pt idx="17">
                  <c:v>204.946</c:v>
                </c:pt>
                <c:pt idx="18">
                  <c:v>202.06059999999999</c:v>
                </c:pt>
                <c:pt idx="19">
                  <c:v>199.22280000000001</c:v>
                </c:pt>
                <c:pt idx="20">
                  <c:v>196.3537</c:v>
                </c:pt>
                <c:pt idx="21">
                  <c:v>193.89949999999999</c:v>
                </c:pt>
                <c:pt idx="22">
                  <c:v>191.352</c:v>
                </c:pt>
                <c:pt idx="23">
                  <c:v>188.92089999999999</c:v>
                </c:pt>
                <c:pt idx="24">
                  <c:v>186.6224</c:v>
                </c:pt>
                <c:pt idx="25">
                  <c:v>184.31649999999999</c:v>
                </c:pt>
                <c:pt idx="26">
                  <c:v>180.24959999999999</c:v>
                </c:pt>
                <c:pt idx="27">
                  <c:v>178.33449999999999</c:v>
                </c:pt>
                <c:pt idx="28">
                  <c:v>176.53319999999999</c:v>
                </c:pt>
                <c:pt idx="29">
                  <c:v>174.82810000000001</c:v>
                </c:pt>
                <c:pt idx="30">
                  <c:v>173.06020000000001</c:v>
                </c:pt>
                <c:pt idx="31">
                  <c:v>171.62729999999999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A-4155-9062-3D6664EC5705}"/>
            </c:ext>
          </c:extLst>
        </c:ser>
        <c:ser>
          <c:idx val="3"/>
          <c:order val="3"/>
          <c:marker>
            <c:symbol val="circle"/>
            <c:size val="6"/>
            <c:spPr>
              <a:solidFill>
                <a:srgbClr val="43AD4C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Energy'!$B$5,'Per Capita Energy'!$B$2:$AF$2,'Per Capita Energy'!$AG$5)</c:f>
              <c:numCache>
                <c:formatCode>General</c:formatCode>
                <c:ptCount val="33"/>
                <c:pt idx="0">
                  <c:v>287.71839999999997</c:v>
                </c:pt>
                <c:pt idx="32">
                  <c:v>171.62729999999999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1A-4155-9062-3D6664EC5705}"/>
            </c:ext>
          </c:extLst>
        </c:ser>
        <c:ser>
          <c:idx val="4"/>
          <c:order val="4"/>
          <c:tx>
            <c:strRef>
              <c:f>'Per Capita Energy'!$A$6</c:f>
              <c:strCache>
                <c:ptCount val="1"/>
                <c:pt idx="0">
                  <c:v>BAU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Energy'!$B$6:$AG$6</c:f>
              <c:numCache>
                <c:formatCode>General</c:formatCode>
                <c:ptCount val="32"/>
                <c:pt idx="0">
                  <c:v>287.71839999999997</c:v>
                </c:pt>
                <c:pt idx="1">
                  <c:v>283.60129999999998</c:v>
                </c:pt>
                <c:pt idx="2">
                  <c:v>280.71120000000002</c:v>
                </c:pt>
                <c:pt idx="3">
                  <c:v>277.57889999999998</c:v>
                </c:pt>
                <c:pt idx="4">
                  <c:v>274.7124</c:v>
                </c:pt>
                <c:pt idx="5">
                  <c:v>271.51589999999999</c:v>
                </c:pt>
                <c:pt idx="6">
                  <c:v>266.9024</c:v>
                </c:pt>
                <c:pt idx="7">
                  <c:v>263.22570000000002</c:v>
                </c:pt>
                <c:pt idx="8">
                  <c:v>259.56970000000001</c:v>
                </c:pt>
                <c:pt idx="9">
                  <c:v>256.05220000000003</c:v>
                </c:pt>
                <c:pt idx="10">
                  <c:v>252.8116</c:v>
                </c:pt>
                <c:pt idx="11">
                  <c:v>250.1317</c:v>
                </c:pt>
                <c:pt idx="12">
                  <c:v>247.8218</c:v>
                </c:pt>
                <c:pt idx="13">
                  <c:v>245.8597</c:v>
                </c:pt>
                <c:pt idx="14">
                  <c:v>244.09219999999999</c:v>
                </c:pt>
                <c:pt idx="15">
                  <c:v>242.1671</c:v>
                </c:pt>
                <c:pt idx="16">
                  <c:v>240.56649999999999</c:v>
                </c:pt>
                <c:pt idx="17">
                  <c:v>238.94290000000001</c:v>
                </c:pt>
                <c:pt idx="18">
                  <c:v>237.36920000000001</c:v>
                </c:pt>
                <c:pt idx="19">
                  <c:v>235.8604</c:v>
                </c:pt>
                <c:pt idx="20">
                  <c:v>234.43879999999999</c:v>
                </c:pt>
                <c:pt idx="21">
                  <c:v>233.08949999999999</c:v>
                </c:pt>
                <c:pt idx="22">
                  <c:v>231.72989999999999</c:v>
                </c:pt>
                <c:pt idx="23">
                  <c:v>230.39320000000001</c:v>
                </c:pt>
                <c:pt idx="24">
                  <c:v>229.07849999999999</c:v>
                </c:pt>
                <c:pt idx="25">
                  <c:v>227.79519999999999</c:v>
                </c:pt>
                <c:pt idx="26">
                  <c:v>226.55029999999999</c:v>
                </c:pt>
                <c:pt idx="27">
                  <c:v>225.33920000000001</c:v>
                </c:pt>
                <c:pt idx="28">
                  <c:v>224.1874</c:v>
                </c:pt>
                <c:pt idx="29">
                  <c:v>223.08959999999999</c:v>
                </c:pt>
                <c:pt idx="30">
                  <c:v>222.03639999999999</c:v>
                </c:pt>
                <c:pt idx="31">
                  <c:v>221.00710000000001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1A-4155-9062-3D6664EC5705}"/>
            </c:ext>
          </c:extLst>
        </c:ser>
        <c:ser>
          <c:idx val="5"/>
          <c:order val="5"/>
          <c:marker>
            <c:symbol val="circle"/>
            <c:size val="6"/>
            <c:spPr>
              <a:solidFill>
                <a:srgbClr val="F282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Energy'!$B$6,'Per Capita Energy'!$B$2:$AF$2,'Per Capita Energy'!$AG$6)</c:f>
              <c:numCache>
                <c:formatCode>General</c:formatCode>
                <c:ptCount val="33"/>
                <c:pt idx="0">
                  <c:v>287.71839999999997</c:v>
                </c:pt>
                <c:pt idx="32">
                  <c:v>221.00710000000001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1A-4155-9062-3D6664EC5705}"/>
            </c:ext>
          </c:extLst>
        </c:ser>
        <c:ser>
          <c:idx val="6"/>
          <c:order val="6"/>
          <c:tx>
            <c:strRef>
              <c:f>'Per Capita Energy'!$A$7</c:f>
              <c:strCache>
                <c:ptCount val="1"/>
                <c:pt idx="0">
                  <c:v>Elec</c:v>
                </c:pt>
              </c:strCache>
            </c:strRef>
          </c:tx>
          <c:spPr>
            <a:ln w="15875">
              <a:solidFill>
                <a:srgbClr val="E7C92E"/>
              </a:solidFill>
            </a:ln>
          </c:spPr>
          <c:marker>
            <c:symbol val="none"/>
          </c:marker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Energy'!$B$7:$AG$7</c:f>
              <c:numCache>
                <c:formatCode>General</c:formatCode>
                <c:ptCount val="32"/>
                <c:pt idx="0">
                  <c:v>287.71839999999997</c:v>
                </c:pt>
                <c:pt idx="1">
                  <c:v>283.09190000000001</c:v>
                </c:pt>
                <c:pt idx="2">
                  <c:v>278.0188</c:v>
                </c:pt>
                <c:pt idx="3">
                  <c:v>272.81779999999998</c:v>
                </c:pt>
                <c:pt idx="4">
                  <c:v>267.58589999999998</c:v>
                </c:pt>
                <c:pt idx="5">
                  <c:v>261.13290000000001</c:v>
                </c:pt>
                <c:pt idx="6">
                  <c:v>247.5548</c:v>
                </c:pt>
                <c:pt idx="7">
                  <c:v>240.26009999999999</c:v>
                </c:pt>
                <c:pt idx="8">
                  <c:v>232.97749999999999</c:v>
                </c:pt>
                <c:pt idx="9">
                  <c:v>225.79859999999999</c:v>
                </c:pt>
                <c:pt idx="10">
                  <c:v>218.5521</c:v>
                </c:pt>
                <c:pt idx="11">
                  <c:v>202.34469999999999</c:v>
                </c:pt>
                <c:pt idx="12">
                  <c:v>196.1617</c:v>
                </c:pt>
                <c:pt idx="13">
                  <c:v>190.3408</c:v>
                </c:pt>
                <c:pt idx="14">
                  <c:v>184.7192</c:v>
                </c:pt>
                <c:pt idx="15">
                  <c:v>178.83279999999999</c:v>
                </c:pt>
                <c:pt idx="16">
                  <c:v>173.65299999999999</c:v>
                </c:pt>
                <c:pt idx="17">
                  <c:v>169.12629999999999</c:v>
                </c:pt>
                <c:pt idx="18">
                  <c:v>164.59479999999999</c:v>
                </c:pt>
                <c:pt idx="19">
                  <c:v>160.09909999999999</c:v>
                </c:pt>
                <c:pt idx="20">
                  <c:v>155.6568</c:v>
                </c:pt>
                <c:pt idx="21">
                  <c:v>151.4683</c:v>
                </c:pt>
                <c:pt idx="22">
                  <c:v>149.0771</c:v>
                </c:pt>
                <c:pt idx="23">
                  <c:v>146.94900000000001</c:v>
                </c:pt>
                <c:pt idx="24">
                  <c:v>144.9631</c:v>
                </c:pt>
                <c:pt idx="25">
                  <c:v>143.0795</c:v>
                </c:pt>
                <c:pt idx="26">
                  <c:v>139.256</c:v>
                </c:pt>
                <c:pt idx="27">
                  <c:v>137.6413</c:v>
                </c:pt>
                <c:pt idx="28">
                  <c:v>136.1165</c:v>
                </c:pt>
                <c:pt idx="29">
                  <c:v>134.667</c:v>
                </c:pt>
                <c:pt idx="30">
                  <c:v>133.2313</c:v>
                </c:pt>
                <c:pt idx="31">
                  <c:v>131.96549999999999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1A-4155-9062-3D6664EC5705}"/>
            </c:ext>
          </c:extLst>
        </c:ser>
        <c:ser>
          <c:idx val="7"/>
          <c:order val="7"/>
          <c:marker>
            <c:symbol val="circle"/>
            <c:size val="6"/>
            <c:spPr>
              <a:solidFill>
                <a:srgbClr val="E7C9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Energy'!$B$7,'Per Capita Energy'!$B$2:$AF$2,'Per Capita Energy'!$AG$7)</c:f>
              <c:numCache>
                <c:formatCode>General</c:formatCode>
                <c:ptCount val="33"/>
                <c:pt idx="0">
                  <c:v>287.71839999999997</c:v>
                </c:pt>
                <c:pt idx="32">
                  <c:v>131.96549999999999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1A-4155-9062-3D6664EC5705}"/>
            </c:ext>
          </c:extLst>
        </c:ser>
        <c:ser>
          <c:idx val="8"/>
          <c:order val="8"/>
          <c:tx>
            <c:strRef>
              <c:f>'Per Capita Energy'!$A$8</c:f>
              <c:strCache>
                <c:ptCount val="1"/>
                <c:pt idx="0">
                  <c:v>Hybrid</c:v>
                </c:pt>
              </c:strCache>
            </c:strRef>
          </c:tx>
          <c:spPr>
            <a:ln w="15875">
              <a:solidFill>
                <a:srgbClr val="D55BA0"/>
              </a:solidFill>
            </a:ln>
          </c:spPr>
          <c:marker>
            <c:symbol val="none"/>
          </c:marker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'Per Capita Energy'!$B$8:$AG$8</c:f>
              <c:numCache>
                <c:formatCode>General</c:formatCode>
                <c:ptCount val="32"/>
                <c:pt idx="0">
                  <c:v>287.71839999999997</c:v>
                </c:pt>
                <c:pt idx="1">
                  <c:v>283.1105</c:v>
                </c:pt>
                <c:pt idx="2">
                  <c:v>278.31349999999998</c:v>
                </c:pt>
                <c:pt idx="3">
                  <c:v>274.09129999999999</c:v>
                </c:pt>
                <c:pt idx="4">
                  <c:v>269.7208</c:v>
                </c:pt>
                <c:pt idx="5">
                  <c:v>264.34350000000001</c:v>
                </c:pt>
                <c:pt idx="6">
                  <c:v>251.7456</c:v>
                </c:pt>
                <c:pt idx="7">
                  <c:v>245.3561</c:v>
                </c:pt>
                <c:pt idx="8">
                  <c:v>238.90219999999999</c:v>
                </c:pt>
                <c:pt idx="9">
                  <c:v>232.48910000000001</c:v>
                </c:pt>
                <c:pt idx="10">
                  <c:v>225.92679999999999</c:v>
                </c:pt>
                <c:pt idx="11">
                  <c:v>210.35659999999999</c:v>
                </c:pt>
                <c:pt idx="12">
                  <c:v>205.03540000000001</c:v>
                </c:pt>
                <c:pt idx="13">
                  <c:v>200.01990000000001</c:v>
                </c:pt>
                <c:pt idx="14">
                  <c:v>195.155</c:v>
                </c:pt>
                <c:pt idx="15">
                  <c:v>189.9776</c:v>
                </c:pt>
                <c:pt idx="16">
                  <c:v>185.49420000000001</c:v>
                </c:pt>
                <c:pt idx="17">
                  <c:v>180.98089999999999</c:v>
                </c:pt>
                <c:pt idx="18">
                  <c:v>176.47880000000001</c:v>
                </c:pt>
                <c:pt idx="19">
                  <c:v>172.0265</c:v>
                </c:pt>
                <c:pt idx="20">
                  <c:v>167.63570000000001</c:v>
                </c:pt>
                <c:pt idx="21">
                  <c:v>163.51499999999999</c:v>
                </c:pt>
                <c:pt idx="22">
                  <c:v>161.2105</c:v>
                </c:pt>
                <c:pt idx="23">
                  <c:v>159.17150000000001</c:v>
                </c:pt>
                <c:pt idx="24">
                  <c:v>157.27520000000001</c:v>
                </c:pt>
                <c:pt idx="25">
                  <c:v>155.47919999999999</c:v>
                </c:pt>
                <c:pt idx="26">
                  <c:v>151.7458</c:v>
                </c:pt>
                <c:pt idx="27">
                  <c:v>150.21430000000001</c:v>
                </c:pt>
                <c:pt idx="28">
                  <c:v>148.76920000000001</c:v>
                </c:pt>
                <c:pt idx="29">
                  <c:v>147.3954</c:v>
                </c:pt>
                <c:pt idx="30">
                  <c:v>146.029</c:v>
                </c:pt>
                <c:pt idx="31">
                  <c:v>144.83279999999999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1A-4155-9062-3D6664EC5705}"/>
            </c:ext>
          </c:extLst>
        </c:ser>
        <c:ser>
          <c:idx val="9"/>
          <c:order val="9"/>
          <c:marker>
            <c:symbol val="circle"/>
            <c:size val="6"/>
            <c:spPr>
              <a:solidFill>
                <a:srgbClr val="D55BA0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'Per Capita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('Per Capita Energy'!$B$8,'Per Capita Energy'!$B$2:$AF$2,'Per Capita Energy'!$AG$8)</c:f>
              <c:numCache>
                <c:formatCode>General</c:formatCode>
                <c:ptCount val="33"/>
                <c:pt idx="0">
                  <c:v>287.71839999999997</c:v>
                </c:pt>
                <c:pt idx="32">
                  <c:v>144.83279999999999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1A-4155-9062-3D6664EC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40001"/>
        <c:axId val="50640002"/>
      </c:lineChart>
      <c:catAx>
        <c:axId val="506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40002"/>
        <c:crosses val="autoZero"/>
        <c:auto val="1"/>
        <c:lblAlgn val="ctr"/>
        <c:lblOffset val="100"/>
        <c:tickLblSkip val="2"/>
        <c:noMultiLvlLbl val="0"/>
      </c:catAx>
      <c:valAx>
        <c:axId val="506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MMBTU/person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40001"/>
        <c:crosses val="autoZero"/>
        <c:crossBetween val="between"/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9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Demographics!$B$4</c:f>
              <c:strCache>
                <c:ptCount val="1"/>
                <c:pt idx="0">
                  <c:v>Employment</c:v>
                </c:pt>
              </c:strCache>
            </c:strRef>
          </c:tx>
          <c:spPr>
            <a:ln w="15875">
              <a:solidFill>
                <a:srgbClr val="1B65AC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Demographics!$C$4:$AH$4</c:f>
              <c:numCache>
                <c:formatCode>General</c:formatCode>
                <c:ptCount val="32"/>
                <c:pt idx="0">
                  <c:v>3282973</c:v>
                </c:pt>
                <c:pt idx="1">
                  <c:v>3310209.75</c:v>
                </c:pt>
                <c:pt idx="2">
                  <c:v>3383479.75</c:v>
                </c:pt>
                <c:pt idx="3">
                  <c:v>3456749.75</c:v>
                </c:pt>
                <c:pt idx="4">
                  <c:v>3530019.75</c:v>
                </c:pt>
                <c:pt idx="5">
                  <c:v>3603289.75</c:v>
                </c:pt>
                <c:pt idx="6">
                  <c:v>3676559.75</c:v>
                </c:pt>
                <c:pt idx="7">
                  <c:v>3708156.25</c:v>
                </c:pt>
                <c:pt idx="8">
                  <c:v>3739753</c:v>
                </c:pt>
                <c:pt idx="9">
                  <c:v>3771349.75</c:v>
                </c:pt>
                <c:pt idx="10">
                  <c:v>3802946.25</c:v>
                </c:pt>
                <c:pt idx="11">
                  <c:v>3834543</c:v>
                </c:pt>
                <c:pt idx="12">
                  <c:v>3861806.25</c:v>
                </c:pt>
                <c:pt idx="13">
                  <c:v>3889069.75</c:v>
                </c:pt>
                <c:pt idx="14">
                  <c:v>3916333</c:v>
                </c:pt>
                <c:pt idx="15">
                  <c:v>3943596.25</c:v>
                </c:pt>
                <c:pt idx="16">
                  <c:v>3970859.75</c:v>
                </c:pt>
                <c:pt idx="17">
                  <c:v>4000869.75</c:v>
                </c:pt>
                <c:pt idx="18">
                  <c:v>4030879.75</c:v>
                </c:pt>
                <c:pt idx="19">
                  <c:v>4060889.75</c:v>
                </c:pt>
                <c:pt idx="20">
                  <c:v>4090899.75</c:v>
                </c:pt>
                <c:pt idx="21">
                  <c:v>4120909.75</c:v>
                </c:pt>
                <c:pt idx="22">
                  <c:v>4148609.75</c:v>
                </c:pt>
                <c:pt idx="23">
                  <c:v>4176309.75</c:v>
                </c:pt>
                <c:pt idx="24">
                  <c:v>4204009.5</c:v>
                </c:pt>
                <c:pt idx="25">
                  <c:v>4231709.5</c:v>
                </c:pt>
                <c:pt idx="26">
                  <c:v>4259409.5</c:v>
                </c:pt>
                <c:pt idx="27">
                  <c:v>4292953</c:v>
                </c:pt>
                <c:pt idx="28">
                  <c:v>4326496.5</c:v>
                </c:pt>
                <c:pt idx="29">
                  <c:v>4360039.5</c:v>
                </c:pt>
                <c:pt idx="30">
                  <c:v>4393583</c:v>
                </c:pt>
                <c:pt idx="31">
                  <c:v>4427126.5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D-4F14-9D18-E4CE1B814B6A}"/>
            </c:ext>
          </c:extLst>
        </c:ser>
        <c:ser>
          <c:idx val="1"/>
          <c:order val="1"/>
          <c:tx>
            <c:strRef>
              <c:f>Demographics!$B$5</c:f>
              <c:strCache>
                <c:ptCount val="1"/>
                <c:pt idx="0">
                  <c:v>Households</c:v>
                </c:pt>
              </c:strCache>
            </c:strRef>
          </c:tx>
          <c:spPr>
            <a:ln w="15875">
              <a:solidFill>
                <a:srgbClr val="0F5834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Demographics!$C$5:$AH$5</c:f>
              <c:numCache>
                <c:formatCode>General</c:formatCode>
                <c:ptCount val="32"/>
                <c:pt idx="0">
                  <c:v>2932477</c:v>
                </c:pt>
                <c:pt idx="1">
                  <c:v>3222195.5</c:v>
                </c:pt>
                <c:pt idx="2">
                  <c:v>3243919.5</c:v>
                </c:pt>
                <c:pt idx="3">
                  <c:v>3279247.75</c:v>
                </c:pt>
                <c:pt idx="4">
                  <c:v>3315595</c:v>
                </c:pt>
                <c:pt idx="5">
                  <c:v>3352231</c:v>
                </c:pt>
                <c:pt idx="6">
                  <c:v>3388867.25</c:v>
                </c:pt>
                <c:pt idx="7">
                  <c:v>3423127.75</c:v>
                </c:pt>
                <c:pt idx="8">
                  <c:v>3457588.25</c:v>
                </c:pt>
                <c:pt idx="9">
                  <c:v>3492238.5</c:v>
                </c:pt>
                <c:pt idx="10">
                  <c:v>3526889</c:v>
                </c:pt>
                <c:pt idx="11">
                  <c:v>3561539.5</c:v>
                </c:pt>
                <c:pt idx="12">
                  <c:v>3593892.5</c:v>
                </c:pt>
                <c:pt idx="13">
                  <c:v>3626245.75</c:v>
                </c:pt>
                <c:pt idx="14">
                  <c:v>3658599</c:v>
                </c:pt>
                <c:pt idx="15">
                  <c:v>3690952</c:v>
                </c:pt>
                <c:pt idx="16">
                  <c:v>3723305.25</c:v>
                </c:pt>
                <c:pt idx="17">
                  <c:v>3752038</c:v>
                </c:pt>
                <c:pt idx="18">
                  <c:v>3780770.75</c:v>
                </c:pt>
                <c:pt idx="19">
                  <c:v>3809503.5</c:v>
                </c:pt>
                <c:pt idx="20">
                  <c:v>3838236.25</c:v>
                </c:pt>
                <c:pt idx="21">
                  <c:v>3866969</c:v>
                </c:pt>
                <c:pt idx="22">
                  <c:v>3893262.5</c:v>
                </c:pt>
                <c:pt idx="23">
                  <c:v>3919556.25</c:v>
                </c:pt>
                <c:pt idx="24">
                  <c:v>3945850</c:v>
                </c:pt>
                <c:pt idx="25">
                  <c:v>3972143.5</c:v>
                </c:pt>
                <c:pt idx="26">
                  <c:v>3998437.25</c:v>
                </c:pt>
                <c:pt idx="27">
                  <c:v>4022973.5</c:v>
                </c:pt>
                <c:pt idx="28">
                  <c:v>4047510</c:v>
                </c:pt>
                <c:pt idx="29">
                  <c:v>4072046.25</c:v>
                </c:pt>
                <c:pt idx="30">
                  <c:v>4096582.75</c:v>
                </c:pt>
                <c:pt idx="31">
                  <c:v>4121119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D-4F14-9D18-E4CE1B814B6A}"/>
            </c:ext>
          </c:extLst>
        </c:ser>
        <c:ser>
          <c:idx val="2"/>
          <c:order val="2"/>
          <c:tx>
            <c:strRef>
              <c:f>Demographics!$B$6</c:f>
              <c:strCache>
                <c:ptCount val="1"/>
                <c:pt idx="0">
                  <c:v>Personal Vehicles</c:v>
                </c:pt>
              </c:strCache>
            </c:strRef>
          </c:tx>
          <c:spPr>
            <a:ln w="15875">
              <a:solidFill>
                <a:srgbClr val="F22738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Demographics!$C$6:$AH$6</c:f>
              <c:numCache>
                <c:formatCode>General</c:formatCode>
                <c:ptCount val="32"/>
                <c:pt idx="0">
                  <c:v>5432139</c:v>
                </c:pt>
                <c:pt idx="1">
                  <c:v>5972041</c:v>
                </c:pt>
                <c:pt idx="2">
                  <c:v>6013588.5</c:v>
                </c:pt>
                <c:pt idx="3">
                  <c:v>6079909</c:v>
                </c:pt>
                <c:pt idx="4">
                  <c:v>6147767.5</c:v>
                </c:pt>
                <c:pt idx="5">
                  <c:v>6216280</c:v>
                </c:pt>
                <c:pt idx="6">
                  <c:v>6285659</c:v>
                </c:pt>
                <c:pt idx="7">
                  <c:v>6350451</c:v>
                </c:pt>
                <c:pt idx="8">
                  <c:v>6415931</c:v>
                </c:pt>
                <c:pt idx="9">
                  <c:v>6481514</c:v>
                </c:pt>
                <c:pt idx="10">
                  <c:v>6547624.5</c:v>
                </c:pt>
                <c:pt idx="11">
                  <c:v>6612029</c:v>
                </c:pt>
                <c:pt idx="12">
                  <c:v>6673524</c:v>
                </c:pt>
                <c:pt idx="13">
                  <c:v>6734910</c:v>
                </c:pt>
                <c:pt idx="14">
                  <c:v>6796506</c:v>
                </c:pt>
                <c:pt idx="15">
                  <c:v>6857229</c:v>
                </c:pt>
                <c:pt idx="16">
                  <c:v>6917433</c:v>
                </c:pt>
                <c:pt idx="17">
                  <c:v>6970431.5</c:v>
                </c:pt>
                <c:pt idx="18">
                  <c:v>7024334.5</c:v>
                </c:pt>
                <c:pt idx="19">
                  <c:v>7078359.5</c:v>
                </c:pt>
                <c:pt idx="20">
                  <c:v>7132783.5</c:v>
                </c:pt>
                <c:pt idx="21">
                  <c:v>7186541.5</c:v>
                </c:pt>
                <c:pt idx="22">
                  <c:v>7236020.5</c:v>
                </c:pt>
                <c:pt idx="23">
                  <c:v>7284687.5</c:v>
                </c:pt>
                <c:pt idx="24">
                  <c:v>7333063.5</c:v>
                </c:pt>
                <c:pt idx="25">
                  <c:v>7381008.5</c:v>
                </c:pt>
                <c:pt idx="26">
                  <c:v>7427734.5</c:v>
                </c:pt>
                <c:pt idx="27">
                  <c:v>7471124.5</c:v>
                </c:pt>
                <c:pt idx="28">
                  <c:v>7515129</c:v>
                </c:pt>
                <c:pt idx="29">
                  <c:v>7559409.5</c:v>
                </c:pt>
                <c:pt idx="30">
                  <c:v>7603822.5</c:v>
                </c:pt>
                <c:pt idx="31">
                  <c:v>7648720.5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CD-4F14-9D18-E4CE1B814B6A}"/>
            </c:ext>
          </c:extLst>
        </c:ser>
        <c:ser>
          <c:idx val="3"/>
          <c:order val="3"/>
          <c:tx>
            <c:strRef>
              <c:f>Demographics!$B$7</c:f>
              <c:strCache>
                <c:ptCount val="1"/>
                <c:pt idx="0">
                  <c:v>Population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Demographics!$C$7:$AH$7</c:f>
              <c:numCache>
                <c:formatCode>General</c:formatCode>
                <c:ptCount val="32"/>
                <c:pt idx="0">
                  <c:v>7614893</c:v>
                </c:pt>
                <c:pt idx="1">
                  <c:v>7703752.5</c:v>
                </c:pt>
                <c:pt idx="2">
                  <c:v>7792110</c:v>
                </c:pt>
                <c:pt idx="3">
                  <c:v>7879186.5</c:v>
                </c:pt>
                <c:pt idx="4">
                  <c:v>7964700.5</c:v>
                </c:pt>
                <c:pt idx="5">
                  <c:v>8048526</c:v>
                </c:pt>
                <c:pt idx="6">
                  <c:v>8130742</c:v>
                </c:pt>
                <c:pt idx="7">
                  <c:v>8210531</c:v>
                </c:pt>
                <c:pt idx="8">
                  <c:v>8288163.5</c:v>
                </c:pt>
                <c:pt idx="9">
                  <c:v>8363870.5</c:v>
                </c:pt>
                <c:pt idx="10">
                  <c:v>8437980</c:v>
                </c:pt>
                <c:pt idx="11">
                  <c:v>8510832</c:v>
                </c:pt>
                <c:pt idx="12">
                  <c:v>8581806</c:v>
                </c:pt>
                <c:pt idx="13">
                  <c:v>8651308</c:v>
                </c:pt>
                <c:pt idx="14">
                  <c:v>8719592</c:v>
                </c:pt>
                <c:pt idx="15">
                  <c:v>8787008</c:v>
                </c:pt>
                <c:pt idx="16">
                  <c:v>8853918</c:v>
                </c:pt>
                <c:pt idx="17">
                  <c:v>8919218</c:v>
                </c:pt>
                <c:pt idx="18">
                  <c:v>8983365</c:v>
                </c:pt>
                <c:pt idx="19">
                  <c:v>9046667</c:v>
                </c:pt>
                <c:pt idx="20">
                  <c:v>9109381</c:v>
                </c:pt>
                <c:pt idx="21">
                  <c:v>9171777</c:v>
                </c:pt>
                <c:pt idx="22">
                  <c:v>9233072</c:v>
                </c:pt>
                <c:pt idx="23">
                  <c:v>9293559</c:v>
                </c:pt>
                <c:pt idx="24">
                  <c:v>9353509</c:v>
                </c:pt>
                <c:pt idx="25">
                  <c:v>9413135</c:v>
                </c:pt>
                <c:pt idx="26">
                  <c:v>9472623</c:v>
                </c:pt>
                <c:pt idx="27">
                  <c:v>9531523</c:v>
                </c:pt>
                <c:pt idx="28">
                  <c:v>9590036</c:v>
                </c:pt>
                <c:pt idx="29">
                  <c:v>9648400</c:v>
                </c:pt>
                <c:pt idx="30">
                  <c:v>9706778</c:v>
                </c:pt>
                <c:pt idx="31">
                  <c:v>9765320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CD-4F14-9D18-E4CE1B814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50001"/>
        <c:axId val="50650002"/>
      </c:lineChart>
      <c:catAx>
        <c:axId val="506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50002"/>
        <c:crosses val="autoZero"/>
        <c:auto val="1"/>
        <c:lblAlgn val="ctr"/>
        <c:lblOffset val="100"/>
        <c:tickLblSkip val="2"/>
        <c:noMultiLvlLbl val="0"/>
      </c:catAx>
      <c:valAx>
        <c:axId val="506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Numbers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5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Demographics!$B$8</c:f>
              <c:strCache>
                <c:ptCount val="1"/>
                <c:pt idx="0">
                  <c:v>Employment</c:v>
                </c:pt>
              </c:strCache>
            </c:strRef>
          </c:tx>
          <c:spPr>
            <a:ln w="15875">
              <a:solidFill>
                <a:srgbClr val="1B65AC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Demographics!$C$8:$AH$8</c:f>
              <c:numCache>
                <c:formatCode>General</c:formatCode>
                <c:ptCount val="32"/>
                <c:pt idx="0">
                  <c:v>3282973</c:v>
                </c:pt>
                <c:pt idx="1">
                  <c:v>3310209.75</c:v>
                </c:pt>
                <c:pt idx="2">
                  <c:v>3383479.75</c:v>
                </c:pt>
                <c:pt idx="3">
                  <c:v>3456749.75</c:v>
                </c:pt>
                <c:pt idx="4">
                  <c:v>3530019.75</c:v>
                </c:pt>
                <c:pt idx="5">
                  <c:v>3603289.75</c:v>
                </c:pt>
                <c:pt idx="6">
                  <c:v>3676559.75</c:v>
                </c:pt>
                <c:pt idx="7">
                  <c:v>3708156.25</c:v>
                </c:pt>
                <c:pt idx="8">
                  <c:v>3739753</c:v>
                </c:pt>
                <c:pt idx="9">
                  <c:v>3771349.75</c:v>
                </c:pt>
                <c:pt idx="10">
                  <c:v>3802946.25</c:v>
                </c:pt>
                <c:pt idx="11">
                  <c:v>3834543</c:v>
                </c:pt>
                <c:pt idx="12">
                  <c:v>3861806.25</c:v>
                </c:pt>
                <c:pt idx="13">
                  <c:v>3889069.75</c:v>
                </c:pt>
                <c:pt idx="14">
                  <c:v>3916333</c:v>
                </c:pt>
                <c:pt idx="15">
                  <c:v>3943596.25</c:v>
                </c:pt>
                <c:pt idx="16">
                  <c:v>3970859.75</c:v>
                </c:pt>
                <c:pt idx="17">
                  <c:v>4000869.75</c:v>
                </c:pt>
                <c:pt idx="18">
                  <c:v>4030879.75</c:v>
                </c:pt>
                <c:pt idx="19">
                  <c:v>4060889.75</c:v>
                </c:pt>
                <c:pt idx="20">
                  <c:v>4090899.75</c:v>
                </c:pt>
                <c:pt idx="21">
                  <c:v>4120909.75</c:v>
                </c:pt>
                <c:pt idx="22">
                  <c:v>4148609.75</c:v>
                </c:pt>
                <c:pt idx="23">
                  <c:v>4176309.75</c:v>
                </c:pt>
                <c:pt idx="24">
                  <c:v>4204009.5</c:v>
                </c:pt>
                <c:pt idx="25">
                  <c:v>4231709.5</c:v>
                </c:pt>
                <c:pt idx="26">
                  <c:v>4259409.5</c:v>
                </c:pt>
                <c:pt idx="27">
                  <c:v>4292953</c:v>
                </c:pt>
                <c:pt idx="28">
                  <c:v>4326496.5</c:v>
                </c:pt>
                <c:pt idx="29">
                  <c:v>4360039.5</c:v>
                </c:pt>
                <c:pt idx="30">
                  <c:v>4393583</c:v>
                </c:pt>
                <c:pt idx="31">
                  <c:v>4427126.5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A-4EA4-85D7-F6D7265B640E}"/>
            </c:ext>
          </c:extLst>
        </c:ser>
        <c:ser>
          <c:idx val="1"/>
          <c:order val="1"/>
          <c:tx>
            <c:strRef>
              <c:f>Demographics!$B$9</c:f>
              <c:strCache>
                <c:ptCount val="1"/>
                <c:pt idx="0">
                  <c:v>Households</c:v>
                </c:pt>
              </c:strCache>
            </c:strRef>
          </c:tx>
          <c:spPr>
            <a:ln w="15875">
              <a:solidFill>
                <a:srgbClr val="0F5834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Demographics!$C$9:$AH$9</c:f>
              <c:numCache>
                <c:formatCode>General</c:formatCode>
                <c:ptCount val="32"/>
                <c:pt idx="0">
                  <c:v>2932477</c:v>
                </c:pt>
                <c:pt idx="1">
                  <c:v>3222195.5</c:v>
                </c:pt>
                <c:pt idx="2">
                  <c:v>3243919.5</c:v>
                </c:pt>
                <c:pt idx="3">
                  <c:v>3279247.75</c:v>
                </c:pt>
                <c:pt idx="4">
                  <c:v>3315595</c:v>
                </c:pt>
                <c:pt idx="5">
                  <c:v>3352231</c:v>
                </c:pt>
                <c:pt idx="6">
                  <c:v>3388867.25</c:v>
                </c:pt>
                <c:pt idx="7">
                  <c:v>3423127.75</c:v>
                </c:pt>
                <c:pt idx="8">
                  <c:v>3457588.25</c:v>
                </c:pt>
                <c:pt idx="9">
                  <c:v>3492238.5</c:v>
                </c:pt>
                <c:pt idx="10">
                  <c:v>3526889</c:v>
                </c:pt>
                <c:pt idx="11">
                  <c:v>3561539.5</c:v>
                </c:pt>
                <c:pt idx="12">
                  <c:v>3593892.5</c:v>
                </c:pt>
                <c:pt idx="13">
                  <c:v>3626245.75</c:v>
                </c:pt>
                <c:pt idx="14">
                  <c:v>3658599</c:v>
                </c:pt>
                <c:pt idx="15">
                  <c:v>3690952</c:v>
                </c:pt>
                <c:pt idx="16">
                  <c:v>3723305.25</c:v>
                </c:pt>
                <c:pt idx="17">
                  <c:v>3752038</c:v>
                </c:pt>
                <c:pt idx="18">
                  <c:v>3780770.75</c:v>
                </c:pt>
                <c:pt idx="19">
                  <c:v>3809503.5</c:v>
                </c:pt>
                <c:pt idx="20">
                  <c:v>3838236.25</c:v>
                </c:pt>
                <c:pt idx="21">
                  <c:v>3866969</c:v>
                </c:pt>
                <c:pt idx="22">
                  <c:v>3893262.5</c:v>
                </c:pt>
                <c:pt idx="23">
                  <c:v>3919556.25</c:v>
                </c:pt>
                <c:pt idx="24">
                  <c:v>3945850</c:v>
                </c:pt>
                <c:pt idx="25">
                  <c:v>3972143.5</c:v>
                </c:pt>
                <c:pt idx="26">
                  <c:v>3998437.25</c:v>
                </c:pt>
                <c:pt idx="27">
                  <c:v>4022973.5</c:v>
                </c:pt>
                <c:pt idx="28">
                  <c:v>4047510</c:v>
                </c:pt>
                <c:pt idx="29">
                  <c:v>4072046.25</c:v>
                </c:pt>
                <c:pt idx="30">
                  <c:v>4096582.75</c:v>
                </c:pt>
                <c:pt idx="31">
                  <c:v>4121119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A-4EA4-85D7-F6D7265B640E}"/>
            </c:ext>
          </c:extLst>
        </c:ser>
        <c:ser>
          <c:idx val="2"/>
          <c:order val="2"/>
          <c:tx>
            <c:strRef>
              <c:f>Demographics!$B$10</c:f>
              <c:strCache>
                <c:ptCount val="1"/>
                <c:pt idx="0">
                  <c:v>Personal Vehicles</c:v>
                </c:pt>
              </c:strCache>
            </c:strRef>
          </c:tx>
          <c:spPr>
            <a:ln w="15875">
              <a:solidFill>
                <a:srgbClr val="F22738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Demographics!$C$10:$AH$10</c:f>
              <c:numCache>
                <c:formatCode>General</c:formatCode>
                <c:ptCount val="32"/>
                <c:pt idx="0">
                  <c:v>5432139</c:v>
                </c:pt>
                <c:pt idx="1">
                  <c:v>5972041</c:v>
                </c:pt>
                <c:pt idx="2">
                  <c:v>6013363</c:v>
                </c:pt>
                <c:pt idx="3">
                  <c:v>6079367</c:v>
                </c:pt>
                <c:pt idx="4">
                  <c:v>6147033</c:v>
                </c:pt>
                <c:pt idx="5">
                  <c:v>6215457.5</c:v>
                </c:pt>
                <c:pt idx="6">
                  <c:v>6285061.5</c:v>
                </c:pt>
                <c:pt idx="7">
                  <c:v>6350150</c:v>
                </c:pt>
                <c:pt idx="8">
                  <c:v>6416012.5</c:v>
                </c:pt>
                <c:pt idx="9">
                  <c:v>6482062</c:v>
                </c:pt>
                <c:pt idx="10">
                  <c:v>6548722</c:v>
                </c:pt>
                <c:pt idx="11">
                  <c:v>6613764</c:v>
                </c:pt>
                <c:pt idx="12">
                  <c:v>6675958.5</c:v>
                </c:pt>
                <c:pt idx="13">
                  <c:v>6738125</c:v>
                </c:pt>
                <c:pt idx="14">
                  <c:v>6800582.5</c:v>
                </c:pt>
                <c:pt idx="15">
                  <c:v>6862247</c:v>
                </c:pt>
                <c:pt idx="16">
                  <c:v>6923474</c:v>
                </c:pt>
                <c:pt idx="17">
                  <c:v>6977509</c:v>
                </c:pt>
                <c:pt idx="18">
                  <c:v>7032514.5</c:v>
                </c:pt>
                <c:pt idx="19">
                  <c:v>7087710</c:v>
                </c:pt>
                <c:pt idx="20">
                  <c:v>7143374.5</c:v>
                </c:pt>
                <c:pt idx="21">
                  <c:v>7198431</c:v>
                </c:pt>
                <c:pt idx="22">
                  <c:v>7249214</c:v>
                </c:pt>
                <c:pt idx="23">
                  <c:v>7299209.5</c:v>
                </c:pt>
                <c:pt idx="24">
                  <c:v>7348927</c:v>
                </c:pt>
                <c:pt idx="25">
                  <c:v>7398221</c:v>
                </c:pt>
                <c:pt idx="26">
                  <c:v>7446328.5</c:v>
                </c:pt>
                <c:pt idx="27">
                  <c:v>7491025</c:v>
                </c:pt>
                <c:pt idx="28">
                  <c:v>7536321.5</c:v>
                </c:pt>
                <c:pt idx="29">
                  <c:v>7581885</c:v>
                </c:pt>
                <c:pt idx="30">
                  <c:v>7627576.5</c:v>
                </c:pt>
                <c:pt idx="31">
                  <c:v>7673732.5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A-4EA4-85D7-F6D7265B640E}"/>
            </c:ext>
          </c:extLst>
        </c:ser>
        <c:ser>
          <c:idx val="3"/>
          <c:order val="3"/>
          <c:tx>
            <c:strRef>
              <c:f>Demographics!$B$11</c:f>
              <c:strCache>
                <c:ptCount val="1"/>
                <c:pt idx="0">
                  <c:v>Population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Demographics!$C$11:$AH$11</c:f>
              <c:numCache>
                <c:formatCode>General</c:formatCode>
                <c:ptCount val="32"/>
                <c:pt idx="0">
                  <c:v>7614893</c:v>
                </c:pt>
                <c:pt idx="1">
                  <c:v>7703752.5</c:v>
                </c:pt>
                <c:pt idx="2">
                  <c:v>7792110</c:v>
                </c:pt>
                <c:pt idx="3">
                  <c:v>7879186.5</c:v>
                </c:pt>
                <c:pt idx="4">
                  <c:v>7964700.5</c:v>
                </c:pt>
                <c:pt idx="5">
                  <c:v>8048526</c:v>
                </c:pt>
                <c:pt idx="6">
                  <c:v>8130742</c:v>
                </c:pt>
                <c:pt idx="7">
                  <c:v>8210531</c:v>
                </c:pt>
                <c:pt idx="8">
                  <c:v>8288163.5</c:v>
                </c:pt>
                <c:pt idx="9">
                  <c:v>8363870.5</c:v>
                </c:pt>
                <c:pt idx="10">
                  <c:v>8437980</c:v>
                </c:pt>
                <c:pt idx="11">
                  <c:v>8510832</c:v>
                </c:pt>
                <c:pt idx="12">
                  <c:v>8581806</c:v>
                </c:pt>
                <c:pt idx="13">
                  <c:v>8651308</c:v>
                </c:pt>
                <c:pt idx="14">
                  <c:v>8719592</c:v>
                </c:pt>
                <c:pt idx="15">
                  <c:v>8787008</c:v>
                </c:pt>
                <c:pt idx="16">
                  <c:v>8853918</c:v>
                </c:pt>
                <c:pt idx="17">
                  <c:v>8919218</c:v>
                </c:pt>
                <c:pt idx="18">
                  <c:v>8983365</c:v>
                </c:pt>
                <c:pt idx="19">
                  <c:v>9046667</c:v>
                </c:pt>
                <c:pt idx="20">
                  <c:v>9109381</c:v>
                </c:pt>
                <c:pt idx="21">
                  <c:v>9171777</c:v>
                </c:pt>
                <c:pt idx="22">
                  <c:v>9233072</c:v>
                </c:pt>
                <c:pt idx="23">
                  <c:v>9293559</c:v>
                </c:pt>
                <c:pt idx="24">
                  <c:v>9353509</c:v>
                </c:pt>
                <c:pt idx="25">
                  <c:v>9413135</c:v>
                </c:pt>
                <c:pt idx="26">
                  <c:v>9472623</c:v>
                </c:pt>
                <c:pt idx="27">
                  <c:v>9531523</c:v>
                </c:pt>
                <c:pt idx="28">
                  <c:v>9590036</c:v>
                </c:pt>
                <c:pt idx="29">
                  <c:v>9648400</c:v>
                </c:pt>
                <c:pt idx="30">
                  <c:v>9706778</c:v>
                </c:pt>
                <c:pt idx="31">
                  <c:v>9765320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8A-4EA4-85D7-F6D7265B6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60001"/>
        <c:axId val="50660002"/>
      </c:lineChart>
      <c:catAx>
        <c:axId val="506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60002"/>
        <c:crosses val="autoZero"/>
        <c:auto val="1"/>
        <c:lblAlgn val="ctr"/>
        <c:lblOffset val="100"/>
        <c:tickLblSkip val="2"/>
        <c:noMultiLvlLbl val="0"/>
      </c:catAx>
      <c:valAx>
        <c:axId val="506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Numbers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6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Demographics!$B$12</c:f>
              <c:strCache>
                <c:ptCount val="1"/>
                <c:pt idx="0">
                  <c:v>Employment</c:v>
                </c:pt>
              </c:strCache>
            </c:strRef>
          </c:tx>
          <c:spPr>
            <a:ln w="15875">
              <a:solidFill>
                <a:srgbClr val="1B65AC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Demographics!$C$12:$AH$12</c:f>
              <c:numCache>
                <c:formatCode>General</c:formatCode>
                <c:ptCount val="32"/>
                <c:pt idx="0">
                  <c:v>3282973</c:v>
                </c:pt>
                <c:pt idx="1">
                  <c:v>3310209.75</c:v>
                </c:pt>
                <c:pt idx="2">
                  <c:v>3383479.75</c:v>
                </c:pt>
                <c:pt idx="3">
                  <c:v>3456749.75</c:v>
                </c:pt>
                <c:pt idx="4">
                  <c:v>3530019.75</c:v>
                </c:pt>
                <c:pt idx="5">
                  <c:v>3603289.75</c:v>
                </c:pt>
                <c:pt idx="6">
                  <c:v>3676559.75</c:v>
                </c:pt>
                <c:pt idx="7">
                  <c:v>3708156.25</c:v>
                </c:pt>
                <c:pt idx="8">
                  <c:v>3739753</c:v>
                </c:pt>
                <c:pt idx="9">
                  <c:v>3771349.75</c:v>
                </c:pt>
                <c:pt idx="10">
                  <c:v>3802946.25</c:v>
                </c:pt>
                <c:pt idx="11">
                  <c:v>3834543</c:v>
                </c:pt>
                <c:pt idx="12">
                  <c:v>3861806.25</c:v>
                </c:pt>
                <c:pt idx="13">
                  <c:v>3889069.75</c:v>
                </c:pt>
                <c:pt idx="14">
                  <c:v>3916333</c:v>
                </c:pt>
                <c:pt idx="15">
                  <c:v>3943596.25</c:v>
                </c:pt>
                <c:pt idx="16">
                  <c:v>3970859.75</c:v>
                </c:pt>
                <c:pt idx="17">
                  <c:v>4000869.75</c:v>
                </c:pt>
                <c:pt idx="18">
                  <c:v>4030879.75</c:v>
                </c:pt>
                <c:pt idx="19">
                  <c:v>4060889.75</c:v>
                </c:pt>
                <c:pt idx="20">
                  <c:v>4090899.75</c:v>
                </c:pt>
                <c:pt idx="21">
                  <c:v>4120909.75</c:v>
                </c:pt>
                <c:pt idx="22">
                  <c:v>4148609.75</c:v>
                </c:pt>
                <c:pt idx="23">
                  <c:v>4176309.75</c:v>
                </c:pt>
                <c:pt idx="24">
                  <c:v>4204009.5</c:v>
                </c:pt>
                <c:pt idx="25">
                  <c:v>4231709.5</c:v>
                </c:pt>
                <c:pt idx="26">
                  <c:v>4259409.5</c:v>
                </c:pt>
                <c:pt idx="27">
                  <c:v>4292953</c:v>
                </c:pt>
                <c:pt idx="28">
                  <c:v>4326496.5</c:v>
                </c:pt>
                <c:pt idx="29">
                  <c:v>4360039.5</c:v>
                </c:pt>
                <c:pt idx="30">
                  <c:v>4393583</c:v>
                </c:pt>
                <c:pt idx="31">
                  <c:v>4427126.5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A-4B21-B7D4-934B328F440D}"/>
            </c:ext>
          </c:extLst>
        </c:ser>
        <c:ser>
          <c:idx val="1"/>
          <c:order val="1"/>
          <c:tx>
            <c:strRef>
              <c:f>Demographics!$B$13</c:f>
              <c:strCache>
                <c:ptCount val="1"/>
                <c:pt idx="0">
                  <c:v>Households</c:v>
                </c:pt>
              </c:strCache>
            </c:strRef>
          </c:tx>
          <c:spPr>
            <a:ln w="15875">
              <a:solidFill>
                <a:srgbClr val="0F5834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Demographics!$C$13:$AH$13</c:f>
              <c:numCache>
                <c:formatCode>General</c:formatCode>
                <c:ptCount val="32"/>
                <c:pt idx="0">
                  <c:v>2932477</c:v>
                </c:pt>
                <c:pt idx="1">
                  <c:v>3222195.5</c:v>
                </c:pt>
                <c:pt idx="2">
                  <c:v>3243919.5</c:v>
                </c:pt>
                <c:pt idx="3">
                  <c:v>3279247.75</c:v>
                </c:pt>
                <c:pt idx="4">
                  <c:v>3315595</c:v>
                </c:pt>
                <c:pt idx="5">
                  <c:v>3352231</c:v>
                </c:pt>
                <c:pt idx="6">
                  <c:v>3388867.25</c:v>
                </c:pt>
                <c:pt idx="7">
                  <c:v>3423127.75</c:v>
                </c:pt>
                <c:pt idx="8">
                  <c:v>3457588.25</c:v>
                </c:pt>
                <c:pt idx="9">
                  <c:v>3492238.5</c:v>
                </c:pt>
                <c:pt idx="10">
                  <c:v>3526889</c:v>
                </c:pt>
                <c:pt idx="11">
                  <c:v>3561539.5</c:v>
                </c:pt>
                <c:pt idx="12">
                  <c:v>3593892.5</c:v>
                </c:pt>
                <c:pt idx="13">
                  <c:v>3626245.75</c:v>
                </c:pt>
                <c:pt idx="14">
                  <c:v>3658599</c:v>
                </c:pt>
                <c:pt idx="15">
                  <c:v>3690952</c:v>
                </c:pt>
                <c:pt idx="16">
                  <c:v>3723305.25</c:v>
                </c:pt>
                <c:pt idx="17">
                  <c:v>3752038</c:v>
                </c:pt>
                <c:pt idx="18">
                  <c:v>3780770.75</c:v>
                </c:pt>
                <c:pt idx="19">
                  <c:v>3809503.5</c:v>
                </c:pt>
                <c:pt idx="20">
                  <c:v>3838236.25</c:v>
                </c:pt>
                <c:pt idx="21">
                  <c:v>3866969</c:v>
                </c:pt>
                <c:pt idx="22">
                  <c:v>3893262.5</c:v>
                </c:pt>
                <c:pt idx="23">
                  <c:v>3919556.25</c:v>
                </c:pt>
                <c:pt idx="24">
                  <c:v>3945850</c:v>
                </c:pt>
                <c:pt idx="25">
                  <c:v>3972143.5</c:v>
                </c:pt>
                <c:pt idx="26">
                  <c:v>3998437.25</c:v>
                </c:pt>
                <c:pt idx="27">
                  <c:v>4022973.5</c:v>
                </c:pt>
                <c:pt idx="28">
                  <c:v>4047510</c:v>
                </c:pt>
                <c:pt idx="29">
                  <c:v>4072046.25</c:v>
                </c:pt>
                <c:pt idx="30">
                  <c:v>4096582.75</c:v>
                </c:pt>
                <c:pt idx="31">
                  <c:v>4121119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A-4B21-B7D4-934B328F440D}"/>
            </c:ext>
          </c:extLst>
        </c:ser>
        <c:ser>
          <c:idx val="2"/>
          <c:order val="2"/>
          <c:tx>
            <c:strRef>
              <c:f>Demographics!$B$14</c:f>
              <c:strCache>
                <c:ptCount val="1"/>
                <c:pt idx="0">
                  <c:v>Personal Vehicles</c:v>
                </c:pt>
              </c:strCache>
            </c:strRef>
          </c:tx>
          <c:spPr>
            <a:ln w="15875">
              <a:solidFill>
                <a:srgbClr val="F22738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Demographics!$C$14:$AH$14</c:f>
              <c:numCache>
                <c:formatCode>General</c:formatCode>
                <c:ptCount val="32"/>
                <c:pt idx="0">
                  <c:v>5432139</c:v>
                </c:pt>
                <c:pt idx="1">
                  <c:v>5972041</c:v>
                </c:pt>
                <c:pt idx="2">
                  <c:v>6013363</c:v>
                </c:pt>
                <c:pt idx="3">
                  <c:v>6079367</c:v>
                </c:pt>
                <c:pt idx="4">
                  <c:v>6147033</c:v>
                </c:pt>
                <c:pt idx="5">
                  <c:v>6215457.5</c:v>
                </c:pt>
                <c:pt idx="6">
                  <c:v>6285061.5</c:v>
                </c:pt>
                <c:pt idx="7">
                  <c:v>6350150</c:v>
                </c:pt>
                <c:pt idx="8">
                  <c:v>6416012.5</c:v>
                </c:pt>
                <c:pt idx="9">
                  <c:v>6482062</c:v>
                </c:pt>
                <c:pt idx="10">
                  <c:v>6548722</c:v>
                </c:pt>
                <c:pt idx="11">
                  <c:v>6613764</c:v>
                </c:pt>
                <c:pt idx="12">
                  <c:v>6675958.5</c:v>
                </c:pt>
                <c:pt idx="13">
                  <c:v>6738125</c:v>
                </c:pt>
                <c:pt idx="14">
                  <c:v>6800582.5</c:v>
                </c:pt>
                <c:pt idx="15">
                  <c:v>6862247</c:v>
                </c:pt>
                <c:pt idx="16">
                  <c:v>6923474</c:v>
                </c:pt>
                <c:pt idx="17">
                  <c:v>6977509</c:v>
                </c:pt>
                <c:pt idx="18">
                  <c:v>7032514.5</c:v>
                </c:pt>
                <c:pt idx="19">
                  <c:v>7087710</c:v>
                </c:pt>
                <c:pt idx="20">
                  <c:v>7143374.5</c:v>
                </c:pt>
                <c:pt idx="21">
                  <c:v>7198431</c:v>
                </c:pt>
                <c:pt idx="22">
                  <c:v>7249214</c:v>
                </c:pt>
                <c:pt idx="23">
                  <c:v>7299209.5</c:v>
                </c:pt>
                <c:pt idx="24">
                  <c:v>7348927</c:v>
                </c:pt>
                <c:pt idx="25">
                  <c:v>7398221</c:v>
                </c:pt>
                <c:pt idx="26">
                  <c:v>7446328.5</c:v>
                </c:pt>
                <c:pt idx="27">
                  <c:v>7491025</c:v>
                </c:pt>
                <c:pt idx="28">
                  <c:v>7536321.5</c:v>
                </c:pt>
                <c:pt idx="29">
                  <c:v>7581885</c:v>
                </c:pt>
                <c:pt idx="30">
                  <c:v>7627576.5</c:v>
                </c:pt>
                <c:pt idx="31">
                  <c:v>7673732.5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A-4B21-B7D4-934B328F440D}"/>
            </c:ext>
          </c:extLst>
        </c:ser>
        <c:ser>
          <c:idx val="3"/>
          <c:order val="3"/>
          <c:tx>
            <c:strRef>
              <c:f>Demographics!$B$15</c:f>
              <c:strCache>
                <c:ptCount val="1"/>
                <c:pt idx="0">
                  <c:v>Population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Demographics!$C$15:$AH$15</c:f>
              <c:numCache>
                <c:formatCode>General</c:formatCode>
                <c:ptCount val="32"/>
                <c:pt idx="0">
                  <c:v>7614893</c:v>
                </c:pt>
                <c:pt idx="1">
                  <c:v>7703752.5</c:v>
                </c:pt>
                <c:pt idx="2">
                  <c:v>7792110</c:v>
                </c:pt>
                <c:pt idx="3">
                  <c:v>7879186.5</c:v>
                </c:pt>
                <c:pt idx="4">
                  <c:v>7964700.5</c:v>
                </c:pt>
                <c:pt idx="5">
                  <c:v>8048526</c:v>
                </c:pt>
                <c:pt idx="6">
                  <c:v>8130742</c:v>
                </c:pt>
                <c:pt idx="7">
                  <c:v>8210531</c:v>
                </c:pt>
                <c:pt idx="8">
                  <c:v>8288163.5</c:v>
                </c:pt>
                <c:pt idx="9">
                  <c:v>8363870.5</c:v>
                </c:pt>
                <c:pt idx="10">
                  <c:v>8437980</c:v>
                </c:pt>
                <c:pt idx="11">
                  <c:v>8510832</c:v>
                </c:pt>
                <c:pt idx="12">
                  <c:v>8581806</c:v>
                </c:pt>
                <c:pt idx="13">
                  <c:v>8651308</c:v>
                </c:pt>
                <c:pt idx="14">
                  <c:v>8719592</c:v>
                </c:pt>
                <c:pt idx="15">
                  <c:v>8787008</c:v>
                </c:pt>
                <c:pt idx="16">
                  <c:v>8853918</c:v>
                </c:pt>
                <c:pt idx="17">
                  <c:v>8919218</c:v>
                </c:pt>
                <c:pt idx="18">
                  <c:v>8983365</c:v>
                </c:pt>
                <c:pt idx="19">
                  <c:v>9046667</c:v>
                </c:pt>
                <c:pt idx="20">
                  <c:v>9109381</c:v>
                </c:pt>
                <c:pt idx="21">
                  <c:v>9171777</c:v>
                </c:pt>
                <c:pt idx="22">
                  <c:v>9233072</c:v>
                </c:pt>
                <c:pt idx="23">
                  <c:v>9293559</c:v>
                </c:pt>
                <c:pt idx="24">
                  <c:v>9353509</c:v>
                </c:pt>
                <c:pt idx="25">
                  <c:v>9413135</c:v>
                </c:pt>
                <c:pt idx="26">
                  <c:v>9472623</c:v>
                </c:pt>
                <c:pt idx="27">
                  <c:v>9531523</c:v>
                </c:pt>
                <c:pt idx="28">
                  <c:v>9590036</c:v>
                </c:pt>
                <c:pt idx="29">
                  <c:v>9648400</c:v>
                </c:pt>
                <c:pt idx="30">
                  <c:v>9706778</c:v>
                </c:pt>
                <c:pt idx="31">
                  <c:v>9765320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DA-4B21-B7D4-934B328F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70001"/>
        <c:axId val="50670002"/>
      </c:lineChart>
      <c:catAx>
        <c:axId val="506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70002"/>
        <c:crosses val="autoZero"/>
        <c:auto val="1"/>
        <c:lblAlgn val="ctr"/>
        <c:lblOffset val="100"/>
        <c:tickLblSkip val="2"/>
        <c:noMultiLvlLbl val="0"/>
      </c:catAx>
      <c:valAx>
        <c:axId val="506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Numbers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7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Demographics!$B$16</c:f>
              <c:strCache>
                <c:ptCount val="1"/>
                <c:pt idx="0">
                  <c:v>Employment</c:v>
                </c:pt>
              </c:strCache>
            </c:strRef>
          </c:tx>
          <c:spPr>
            <a:ln w="15875">
              <a:solidFill>
                <a:srgbClr val="1B65AC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Demographics!$C$16:$AH$16</c:f>
              <c:numCache>
                <c:formatCode>General</c:formatCode>
                <c:ptCount val="32"/>
                <c:pt idx="0">
                  <c:v>3282973</c:v>
                </c:pt>
                <c:pt idx="1">
                  <c:v>3310209.75</c:v>
                </c:pt>
                <c:pt idx="2">
                  <c:v>3383479.75</c:v>
                </c:pt>
                <c:pt idx="3">
                  <c:v>3456749.75</c:v>
                </c:pt>
                <c:pt idx="4">
                  <c:v>3530019.75</c:v>
                </c:pt>
                <c:pt idx="5">
                  <c:v>3603289.75</c:v>
                </c:pt>
                <c:pt idx="6">
                  <c:v>3676559.75</c:v>
                </c:pt>
                <c:pt idx="7">
                  <c:v>3708156.25</c:v>
                </c:pt>
                <c:pt idx="8">
                  <c:v>3739753</c:v>
                </c:pt>
                <c:pt idx="9">
                  <c:v>3771349.75</c:v>
                </c:pt>
                <c:pt idx="10">
                  <c:v>3802946.25</c:v>
                </c:pt>
                <c:pt idx="11">
                  <c:v>3834543</c:v>
                </c:pt>
                <c:pt idx="12">
                  <c:v>3861806.25</c:v>
                </c:pt>
                <c:pt idx="13">
                  <c:v>3889069.75</c:v>
                </c:pt>
                <c:pt idx="14">
                  <c:v>3916333</c:v>
                </c:pt>
                <c:pt idx="15">
                  <c:v>3943596.25</c:v>
                </c:pt>
                <c:pt idx="16">
                  <c:v>3970859.75</c:v>
                </c:pt>
                <c:pt idx="17">
                  <c:v>4000869.75</c:v>
                </c:pt>
                <c:pt idx="18">
                  <c:v>4030879.75</c:v>
                </c:pt>
                <c:pt idx="19">
                  <c:v>4060889.75</c:v>
                </c:pt>
                <c:pt idx="20">
                  <c:v>4090899.75</c:v>
                </c:pt>
                <c:pt idx="21">
                  <c:v>4120909.75</c:v>
                </c:pt>
                <c:pt idx="22">
                  <c:v>4148609.75</c:v>
                </c:pt>
                <c:pt idx="23">
                  <c:v>4176309.75</c:v>
                </c:pt>
                <c:pt idx="24">
                  <c:v>4204009.5</c:v>
                </c:pt>
                <c:pt idx="25">
                  <c:v>4231709.5</c:v>
                </c:pt>
                <c:pt idx="26">
                  <c:v>4259409.5</c:v>
                </c:pt>
                <c:pt idx="27">
                  <c:v>4292953</c:v>
                </c:pt>
                <c:pt idx="28">
                  <c:v>4326496.5</c:v>
                </c:pt>
                <c:pt idx="29">
                  <c:v>4360039.5</c:v>
                </c:pt>
                <c:pt idx="30">
                  <c:v>4393583</c:v>
                </c:pt>
                <c:pt idx="31">
                  <c:v>4427126.5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E-47C5-BAE2-5A9C92B1992B}"/>
            </c:ext>
          </c:extLst>
        </c:ser>
        <c:ser>
          <c:idx val="1"/>
          <c:order val="1"/>
          <c:tx>
            <c:strRef>
              <c:f>Demographics!$B$17</c:f>
              <c:strCache>
                <c:ptCount val="1"/>
                <c:pt idx="0">
                  <c:v>Households</c:v>
                </c:pt>
              </c:strCache>
            </c:strRef>
          </c:tx>
          <c:spPr>
            <a:ln w="15875">
              <a:solidFill>
                <a:srgbClr val="0F5834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Demographics!$C$17:$AH$17</c:f>
              <c:numCache>
                <c:formatCode>General</c:formatCode>
                <c:ptCount val="32"/>
                <c:pt idx="0">
                  <c:v>2932477</c:v>
                </c:pt>
                <c:pt idx="1">
                  <c:v>3222195.5</c:v>
                </c:pt>
                <c:pt idx="2">
                  <c:v>3243919.5</c:v>
                </c:pt>
                <c:pt idx="3">
                  <c:v>3279247.75</c:v>
                </c:pt>
                <c:pt idx="4">
                  <c:v>3315595</c:v>
                </c:pt>
                <c:pt idx="5">
                  <c:v>3352231</c:v>
                </c:pt>
                <c:pt idx="6">
                  <c:v>3388867.25</c:v>
                </c:pt>
                <c:pt idx="7">
                  <c:v>3423127.75</c:v>
                </c:pt>
                <c:pt idx="8">
                  <c:v>3457588.25</c:v>
                </c:pt>
                <c:pt idx="9">
                  <c:v>3492238.5</c:v>
                </c:pt>
                <c:pt idx="10">
                  <c:v>3526889</c:v>
                </c:pt>
                <c:pt idx="11">
                  <c:v>3561539.5</c:v>
                </c:pt>
                <c:pt idx="12">
                  <c:v>3593892.5</c:v>
                </c:pt>
                <c:pt idx="13">
                  <c:v>3626245.75</c:v>
                </c:pt>
                <c:pt idx="14">
                  <c:v>3658599</c:v>
                </c:pt>
                <c:pt idx="15">
                  <c:v>3690952</c:v>
                </c:pt>
                <c:pt idx="16">
                  <c:v>3723305.25</c:v>
                </c:pt>
                <c:pt idx="17">
                  <c:v>3752038</c:v>
                </c:pt>
                <c:pt idx="18">
                  <c:v>3780770.75</c:v>
                </c:pt>
                <c:pt idx="19">
                  <c:v>3809503.5</c:v>
                </c:pt>
                <c:pt idx="20">
                  <c:v>3838236.25</c:v>
                </c:pt>
                <c:pt idx="21">
                  <c:v>3866969</c:v>
                </c:pt>
                <c:pt idx="22">
                  <c:v>3893262.5</c:v>
                </c:pt>
                <c:pt idx="23">
                  <c:v>3919556.25</c:v>
                </c:pt>
                <c:pt idx="24">
                  <c:v>3945850</c:v>
                </c:pt>
                <c:pt idx="25">
                  <c:v>3972143.5</c:v>
                </c:pt>
                <c:pt idx="26">
                  <c:v>3998437.25</c:v>
                </c:pt>
                <c:pt idx="27">
                  <c:v>4022973.5</c:v>
                </c:pt>
                <c:pt idx="28">
                  <c:v>4047510</c:v>
                </c:pt>
                <c:pt idx="29">
                  <c:v>4072046.25</c:v>
                </c:pt>
                <c:pt idx="30">
                  <c:v>4096582.75</c:v>
                </c:pt>
                <c:pt idx="31">
                  <c:v>4121119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E-47C5-BAE2-5A9C92B1992B}"/>
            </c:ext>
          </c:extLst>
        </c:ser>
        <c:ser>
          <c:idx val="2"/>
          <c:order val="2"/>
          <c:tx>
            <c:strRef>
              <c:f>Demographics!$B$18</c:f>
              <c:strCache>
                <c:ptCount val="1"/>
                <c:pt idx="0">
                  <c:v>Personal Vehicles</c:v>
                </c:pt>
              </c:strCache>
            </c:strRef>
          </c:tx>
          <c:spPr>
            <a:ln w="15875">
              <a:solidFill>
                <a:srgbClr val="F22738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Demographics!$C$18:$AH$18</c:f>
              <c:numCache>
                <c:formatCode>General</c:formatCode>
                <c:ptCount val="32"/>
                <c:pt idx="0">
                  <c:v>5432139</c:v>
                </c:pt>
                <c:pt idx="1">
                  <c:v>5972041</c:v>
                </c:pt>
                <c:pt idx="2">
                  <c:v>6013588.5</c:v>
                </c:pt>
                <c:pt idx="3">
                  <c:v>6079909</c:v>
                </c:pt>
                <c:pt idx="4">
                  <c:v>6147767.5</c:v>
                </c:pt>
                <c:pt idx="5">
                  <c:v>6216280</c:v>
                </c:pt>
                <c:pt idx="6">
                  <c:v>6285659</c:v>
                </c:pt>
                <c:pt idx="7">
                  <c:v>6350451</c:v>
                </c:pt>
                <c:pt idx="8">
                  <c:v>6415931</c:v>
                </c:pt>
                <c:pt idx="9">
                  <c:v>6481514</c:v>
                </c:pt>
                <c:pt idx="10">
                  <c:v>6547624.5</c:v>
                </c:pt>
                <c:pt idx="11">
                  <c:v>6612029</c:v>
                </c:pt>
                <c:pt idx="12">
                  <c:v>6673524</c:v>
                </c:pt>
                <c:pt idx="13">
                  <c:v>6734910</c:v>
                </c:pt>
                <c:pt idx="14">
                  <c:v>6796506</c:v>
                </c:pt>
                <c:pt idx="15">
                  <c:v>6857229</c:v>
                </c:pt>
                <c:pt idx="16">
                  <c:v>6917433</c:v>
                </c:pt>
                <c:pt idx="17">
                  <c:v>6970431.5</c:v>
                </c:pt>
                <c:pt idx="18">
                  <c:v>7024334.5</c:v>
                </c:pt>
                <c:pt idx="19">
                  <c:v>7078359.5</c:v>
                </c:pt>
                <c:pt idx="20">
                  <c:v>7132783.5</c:v>
                </c:pt>
                <c:pt idx="21">
                  <c:v>7186541.5</c:v>
                </c:pt>
                <c:pt idx="22">
                  <c:v>7236020.5</c:v>
                </c:pt>
                <c:pt idx="23">
                  <c:v>7284687.5</c:v>
                </c:pt>
                <c:pt idx="24">
                  <c:v>7333063.5</c:v>
                </c:pt>
                <c:pt idx="25">
                  <c:v>7381008.5</c:v>
                </c:pt>
                <c:pt idx="26">
                  <c:v>7427734.5</c:v>
                </c:pt>
                <c:pt idx="27">
                  <c:v>7471124.5</c:v>
                </c:pt>
                <c:pt idx="28">
                  <c:v>7515129</c:v>
                </c:pt>
                <c:pt idx="29">
                  <c:v>7559409.5</c:v>
                </c:pt>
                <c:pt idx="30">
                  <c:v>7603822.5</c:v>
                </c:pt>
                <c:pt idx="31">
                  <c:v>7648720.5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E-47C5-BAE2-5A9C92B1992B}"/>
            </c:ext>
          </c:extLst>
        </c:ser>
        <c:ser>
          <c:idx val="3"/>
          <c:order val="3"/>
          <c:tx>
            <c:strRef>
              <c:f>Demographics!$B$19</c:f>
              <c:strCache>
                <c:ptCount val="1"/>
                <c:pt idx="0">
                  <c:v>Population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Demographics!$C$19:$AH$19</c:f>
              <c:numCache>
                <c:formatCode>General</c:formatCode>
                <c:ptCount val="32"/>
                <c:pt idx="0">
                  <c:v>7614893</c:v>
                </c:pt>
                <c:pt idx="1">
                  <c:v>7703752.5</c:v>
                </c:pt>
                <c:pt idx="2">
                  <c:v>7792110</c:v>
                </c:pt>
                <c:pt idx="3">
                  <c:v>7879186.5</c:v>
                </c:pt>
                <c:pt idx="4">
                  <c:v>7964700.5</c:v>
                </c:pt>
                <c:pt idx="5">
                  <c:v>8048526</c:v>
                </c:pt>
                <c:pt idx="6">
                  <c:v>8130742</c:v>
                </c:pt>
                <c:pt idx="7">
                  <c:v>8210531</c:v>
                </c:pt>
                <c:pt idx="8">
                  <c:v>8288163.5</c:v>
                </c:pt>
                <c:pt idx="9">
                  <c:v>8363870.5</c:v>
                </c:pt>
                <c:pt idx="10">
                  <c:v>8437980</c:v>
                </c:pt>
                <c:pt idx="11">
                  <c:v>8510832</c:v>
                </c:pt>
                <c:pt idx="12">
                  <c:v>8581806</c:v>
                </c:pt>
                <c:pt idx="13">
                  <c:v>8651308</c:v>
                </c:pt>
                <c:pt idx="14">
                  <c:v>8719592</c:v>
                </c:pt>
                <c:pt idx="15">
                  <c:v>8787008</c:v>
                </c:pt>
                <c:pt idx="16">
                  <c:v>8853918</c:v>
                </c:pt>
                <c:pt idx="17">
                  <c:v>8919218</c:v>
                </c:pt>
                <c:pt idx="18">
                  <c:v>8983365</c:v>
                </c:pt>
                <c:pt idx="19">
                  <c:v>9046667</c:v>
                </c:pt>
                <c:pt idx="20">
                  <c:v>9109381</c:v>
                </c:pt>
                <c:pt idx="21">
                  <c:v>9171777</c:v>
                </c:pt>
                <c:pt idx="22">
                  <c:v>9233072</c:v>
                </c:pt>
                <c:pt idx="23">
                  <c:v>9293559</c:v>
                </c:pt>
                <c:pt idx="24">
                  <c:v>9353509</c:v>
                </c:pt>
                <c:pt idx="25">
                  <c:v>9413135</c:v>
                </c:pt>
                <c:pt idx="26">
                  <c:v>9472623</c:v>
                </c:pt>
                <c:pt idx="27">
                  <c:v>9531523</c:v>
                </c:pt>
                <c:pt idx="28">
                  <c:v>9590036</c:v>
                </c:pt>
                <c:pt idx="29">
                  <c:v>9648400</c:v>
                </c:pt>
                <c:pt idx="30">
                  <c:v>9706778</c:v>
                </c:pt>
                <c:pt idx="31">
                  <c:v>9765320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1E-47C5-BAE2-5A9C92B19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80001"/>
        <c:axId val="50680002"/>
      </c:lineChart>
      <c:catAx>
        <c:axId val="506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80002"/>
        <c:crosses val="autoZero"/>
        <c:auto val="1"/>
        <c:lblAlgn val="ctr"/>
        <c:lblOffset val="100"/>
        <c:tickLblSkip val="2"/>
        <c:noMultiLvlLbl val="0"/>
      </c:catAx>
      <c:valAx>
        <c:axId val="506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Numbers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8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Demographics!$B$20</c:f>
              <c:strCache>
                <c:ptCount val="1"/>
                <c:pt idx="0">
                  <c:v>Employment</c:v>
                </c:pt>
              </c:strCache>
            </c:strRef>
          </c:tx>
          <c:spPr>
            <a:ln w="15875">
              <a:solidFill>
                <a:srgbClr val="1B65AC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Demographics!$C$20:$AH$20</c:f>
              <c:numCache>
                <c:formatCode>General</c:formatCode>
                <c:ptCount val="32"/>
                <c:pt idx="0">
                  <c:v>3282973</c:v>
                </c:pt>
                <c:pt idx="1">
                  <c:v>3310209.75</c:v>
                </c:pt>
                <c:pt idx="2">
                  <c:v>3383479.75</c:v>
                </c:pt>
                <c:pt idx="3">
                  <c:v>3456749.75</c:v>
                </c:pt>
                <c:pt idx="4">
                  <c:v>3530019.75</c:v>
                </c:pt>
                <c:pt idx="5">
                  <c:v>3603289.75</c:v>
                </c:pt>
                <c:pt idx="6">
                  <c:v>3676559.75</c:v>
                </c:pt>
                <c:pt idx="7">
                  <c:v>3708156.25</c:v>
                </c:pt>
                <c:pt idx="8">
                  <c:v>3739753</c:v>
                </c:pt>
                <c:pt idx="9">
                  <c:v>3771349.75</c:v>
                </c:pt>
                <c:pt idx="10">
                  <c:v>3802946.25</c:v>
                </c:pt>
                <c:pt idx="11">
                  <c:v>3834543</c:v>
                </c:pt>
                <c:pt idx="12">
                  <c:v>3861806.25</c:v>
                </c:pt>
                <c:pt idx="13">
                  <c:v>3889069.75</c:v>
                </c:pt>
                <c:pt idx="14">
                  <c:v>3916333</c:v>
                </c:pt>
                <c:pt idx="15">
                  <c:v>3943596.25</c:v>
                </c:pt>
                <c:pt idx="16">
                  <c:v>3970859.75</c:v>
                </c:pt>
                <c:pt idx="17">
                  <c:v>4000869.75</c:v>
                </c:pt>
                <c:pt idx="18">
                  <c:v>4030879.75</c:v>
                </c:pt>
                <c:pt idx="19">
                  <c:v>4060889.75</c:v>
                </c:pt>
                <c:pt idx="20">
                  <c:v>4090899.75</c:v>
                </c:pt>
                <c:pt idx="21">
                  <c:v>4120909.75</c:v>
                </c:pt>
                <c:pt idx="22">
                  <c:v>4148609.75</c:v>
                </c:pt>
                <c:pt idx="23">
                  <c:v>4176309.75</c:v>
                </c:pt>
                <c:pt idx="24">
                  <c:v>4204009.5</c:v>
                </c:pt>
                <c:pt idx="25">
                  <c:v>4231709.5</c:v>
                </c:pt>
                <c:pt idx="26">
                  <c:v>4259409.5</c:v>
                </c:pt>
                <c:pt idx="27">
                  <c:v>4292953</c:v>
                </c:pt>
                <c:pt idx="28">
                  <c:v>4326496.5</c:v>
                </c:pt>
                <c:pt idx="29">
                  <c:v>4360039.5</c:v>
                </c:pt>
                <c:pt idx="30">
                  <c:v>4393583</c:v>
                </c:pt>
                <c:pt idx="31">
                  <c:v>4427126.5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9-46E2-B676-FC9B03C3634D}"/>
            </c:ext>
          </c:extLst>
        </c:ser>
        <c:ser>
          <c:idx val="1"/>
          <c:order val="1"/>
          <c:tx>
            <c:strRef>
              <c:f>Demographics!$B$21</c:f>
              <c:strCache>
                <c:ptCount val="1"/>
                <c:pt idx="0">
                  <c:v>Households</c:v>
                </c:pt>
              </c:strCache>
            </c:strRef>
          </c:tx>
          <c:spPr>
            <a:ln w="15875">
              <a:solidFill>
                <a:srgbClr val="0F5834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Demographics!$C$21:$AH$21</c:f>
              <c:numCache>
                <c:formatCode>General</c:formatCode>
                <c:ptCount val="32"/>
                <c:pt idx="0">
                  <c:v>2932477</c:v>
                </c:pt>
                <c:pt idx="1">
                  <c:v>3222195.5</c:v>
                </c:pt>
                <c:pt idx="2">
                  <c:v>3243919.5</c:v>
                </c:pt>
                <c:pt idx="3">
                  <c:v>3279247.75</c:v>
                </c:pt>
                <c:pt idx="4">
                  <c:v>3315595</c:v>
                </c:pt>
                <c:pt idx="5">
                  <c:v>3352231</c:v>
                </c:pt>
                <c:pt idx="6">
                  <c:v>3388867.25</c:v>
                </c:pt>
                <c:pt idx="7">
                  <c:v>3423127.75</c:v>
                </c:pt>
                <c:pt idx="8">
                  <c:v>3457588.25</c:v>
                </c:pt>
                <c:pt idx="9">
                  <c:v>3492238.5</c:v>
                </c:pt>
                <c:pt idx="10">
                  <c:v>3526889</c:v>
                </c:pt>
                <c:pt idx="11">
                  <c:v>3561539.5</c:v>
                </c:pt>
                <c:pt idx="12">
                  <c:v>3593892.5</c:v>
                </c:pt>
                <c:pt idx="13">
                  <c:v>3626245.75</c:v>
                </c:pt>
                <c:pt idx="14">
                  <c:v>3658599</c:v>
                </c:pt>
                <c:pt idx="15">
                  <c:v>3690952</c:v>
                </c:pt>
                <c:pt idx="16">
                  <c:v>3723305.25</c:v>
                </c:pt>
                <c:pt idx="17">
                  <c:v>3752038</c:v>
                </c:pt>
                <c:pt idx="18">
                  <c:v>3780770.75</c:v>
                </c:pt>
                <c:pt idx="19">
                  <c:v>3809503.5</c:v>
                </c:pt>
                <c:pt idx="20">
                  <c:v>3838236.25</c:v>
                </c:pt>
                <c:pt idx="21">
                  <c:v>3866969</c:v>
                </c:pt>
                <c:pt idx="22">
                  <c:v>3893262.5</c:v>
                </c:pt>
                <c:pt idx="23">
                  <c:v>3919556.25</c:v>
                </c:pt>
                <c:pt idx="24">
                  <c:v>3945850</c:v>
                </c:pt>
                <c:pt idx="25">
                  <c:v>3972143.5</c:v>
                </c:pt>
                <c:pt idx="26">
                  <c:v>3998437.25</c:v>
                </c:pt>
                <c:pt idx="27">
                  <c:v>4022973.5</c:v>
                </c:pt>
                <c:pt idx="28">
                  <c:v>4047510</c:v>
                </c:pt>
                <c:pt idx="29">
                  <c:v>4072046.25</c:v>
                </c:pt>
                <c:pt idx="30">
                  <c:v>4096582.75</c:v>
                </c:pt>
                <c:pt idx="31">
                  <c:v>4121119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9-46E2-B676-FC9B03C3634D}"/>
            </c:ext>
          </c:extLst>
        </c:ser>
        <c:ser>
          <c:idx val="2"/>
          <c:order val="2"/>
          <c:tx>
            <c:strRef>
              <c:f>Demographics!$B$22</c:f>
              <c:strCache>
                <c:ptCount val="1"/>
                <c:pt idx="0">
                  <c:v>Personal Vehicles</c:v>
                </c:pt>
              </c:strCache>
            </c:strRef>
          </c:tx>
          <c:spPr>
            <a:ln w="15875">
              <a:solidFill>
                <a:srgbClr val="F22738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Demographics!$C$22:$AH$22</c:f>
              <c:numCache>
                <c:formatCode>General</c:formatCode>
                <c:ptCount val="32"/>
                <c:pt idx="0">
                  <c:v>5432139</c:v>
                </c:pt>
                <c:pt idx="1">
                  <c:v>5972041</c:v>
                </c:pt>
                <c:pt idx="2">
                  <c:v>6013588.5</c:v>
                </c:pt>
                <c:pt idx="3">
                  <c:v>6079909</c:v>
                </c:pt>
                <c:pt idx="4">
                  <c:v>6147767.5</c:v>
                </c:pt>
                <c:pt idx="5">
                  <c:v>6216280</c:v>
                </c:pt>
                <c:pt idx="6">
                  <c:v>6285659</c:v>
                </c:pt>
                <c:pt idx="7">
                  <c:v>6350451</c:v>
                </c:pt>
                <c:pt idx="8">
                  <c:v>6415931</c:v>
                </c:pt>
                <c:pt idx="9">
                  <c:v>6481514</c:v>
                </c:pt>
                <c:pt idx="10">
                  <c:v>6547624.5</c:v>
                </c:pt>
                <c:pt idx="11">
                  <c:v>6612029</c:v>
                </c:pt>
                <c:pt idx="12">
                  <c:v>6673524</c:v>
                </c:pt>
                <c:pt idx="13">
                  <c:v>6734910</c:v>
                </c:pt>
                <c:pt idx="14">
                  <c:v>6796506</c:v>
                </c:pt>
                <c:pt idx="15">
                  <c:v>6857229</c:v>
                </c:pt>
                <c:pt idx="16">
                  <c:v>6917433</c:v>
                </c:pt>
                <c:pt idx="17">
                  <c:v>6970431.5</c:v>
                </c:pt>
                <c:pt idx="18">
                  <c:v>7024334.5</c:v>
                </c:pt>
                <c:pt idx="19">
                  <c:v>7078359.5</c:v>
                </c:pt>
                <c:pt idx="20">
                  <c:v>7132783.5</c:v>
                </c:pt>
                <c:pt idx="21">
                  <c:v>7186541.5</c:v>
                </c:pt>
                <c:pt idx="22">
                  <c:v>7236020.5</c:v>
                </c:pt>
                <c:pt idx="23">
                  <c:v>7284687.5</c:v>
                </c:pt>
                <c:pt idx="24">
                  <c:v>7333063.5</c:v>
                </c:pt>
                <c:pt idx="25">
                  <c:v>7381008.5</c:v>
                </c:pt>
                <c:pt idx="26">
                  <c:v>7427734.5</c:v>
                </c:pt>
                <c:pt idx="27">
                  <c:v>7471124.5</c:v>
                </c:pt>
                <c:pt idx="28">
                  <c:v>7515129</c:v>
                </c:pt>
                <c:pt idx="29">
                  <c:v>7559409.5</c:v>
                </c:pt>
                <c:pt idx="30">
                  <c:v>7603822.5</c:v>
                </c:pt>
                <c:pt idx="31">
                  <c:v>7648720.5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9-46E2-B676-FC9B03C3634D}"/>
            </c:ext>
          </c:extLst>
        </c:ser>
        <c:ser>
          <c:idx val="3"/>
          <c:order val="3"/>
          <c:tx>
            <c:strRef>
              <c:f>Demographics!$B$23</c:f>
              <c:strCache>
                <c:ptCount val="1"/>
                <c:pt idx="0">
                  <c:v>Population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Demographics!$C$3:$AH$3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Demographics!$C$23:$AH$23</c:f>
              <c:numCache>
                <c:formatCode>General</c:formatCode>
                <c:ptCount val="32"/>
                <c:pt idx="0">
                  <c:v>7614893</c:v>
                </c:pt>
                <c:pt idx="1">
                  <c:v>7703752.5</c:v>
                </c:pt>
                <c:pt idx="2">
                  <c:v>7792110</c:v>
                </c:pt>
                <c:pt idx="3">
                  <c:v>7879186.5</c:v>
                </c:pt>
                <c:pt idx="4">
                  <c:v>7964700.5</c:v>
                </c:pt>
                <c:pt idx="5">
                  <c:v>8048526</c:v>
                </c:pt>
                <c:pt idx="6">
                  <c:v>8130742</c:v>
                </c:pt>
                <c:pt idx="7">
                  <c:v>8210531</c:v>
                </c:pt>
                <c:pt idx="8">
                  <c:v>8288163.5</c:v>
                </c:pt>
                <c:pt idx="9">
                  <c:v>8363870.5</c:v>
                </c:pt>
                <c:pt idx="10">
                  <c:v>8437980</c:v>
                </c:pt>
                <c:pt idx="11">
                  <c:v>8510832</c:v>
                </c:pt>
                <c:pt idx="12">
                  <c:v>8581806</c:v>
                </c:pt>
                <c:pt idx="13">
                  <c:v>8651308</c:v>
                </c:pt>
                <c:pt idx="14">
                  <c:v>8719592</c:v>
                </c:pt>
                <c:pt idx="15">
                  <c:v>8787008</c:v>
                </c:pt>
                <c:pt idx="16">
                  <c:v>8853918</c:v>
                </c:pt>
                <c:pt idx="17">
                  <c:v>8919218</c:v>
                </c:pt>
                <c:pt idx="18">
                  <c:v>8983365</c:v>
                </c:pt>
                <c:pt idx="19">
                  <c:v>9046667</c:v>
                </c:pt>
                <c:pt idx="20">
                  <c:v>9109381</c:v>
                </c:pt>
                <c:pt idx="21">
                  <c:v>9171777</c:v>
                </c:pt>
                <c:pt idx="22">
                  <c:v>9233072</c:v>
                </c:pt>
                <c:pt idx="23">
                  <c:v>9293559</c:v>
                </c:pt>
                <c:pt idx="24">
                  <c:v>9353509</c:v>
                </c:pt>
                <c:pt idx="25">
                  <c:v>9413135</c:v>
                </c:pt>
                <c:pt idx="26">
                  <c:v>9472623</c:v>
                </c:pt>
                <c:pt idx="27">
                  <c:v>9531523</c:v>
                </c:pt>
                <c:pt idx="28">
                  <c:v>9590036</c:v>
                </c:pt>
                <c:pt idx="29">
                  <c:v>9648400</c:v>
                </c:pt>
                <c:pt idx="30">
                  <c:v>9706778</c:v>
                </c:pt>
                <c:pt idx="31">
                  <c:v>9765320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59-46E2-B676-FC9B03C36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0001"/>
        <c:axId val="50690002"/>
      </c:lineChart>
      <c:catAx>
        <c:axId val="506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90002"/>
        <c:crosses val="autoZero"/>
        <c:auto val="1"/>
        <c:lblAlgn val="ctr"/>
        <c:lblOffset val="100"/>
        <c:tickLblSkip val="2"/>
        <c:noMultiLvlLbl val="0"/>
      </c:catAx>
      <c:valAx>
        <c:axId val="506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Numbers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69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Emissions'!$B$34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Emissions'!$C$34,'Total Emissions'!$AH$34)</c:f>
              <c:numCache>
                <c:formatCode>General</c:formatCode>
                <c:ptCount val="2"/>
                <c:pt idx="0">
                  <c:v>48408352.039399996</c:v>
                </c:pt>
                <c:pt idx="1">
                  <c:v>9243653.8680000007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D71-9B97-3AD4DEEB99F6}"/>
            </c:ext>
          </c:extLst>
        </c:ser>
        <c:ser>
          <c:idx val="1"/>
          <c:order val="1"/>
          <c:tx>
            <c:strRef>
              <c:f>'Total Emissions'!$B$32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Emissions'!$C$32,'Total Emissions'!$AH$32)</c:f>
              <c:numCache>
                <c:formatCode>General</c:formatCode>
                <c:ptCount val="2"/>
                <c:pt idx="0">
                  <c:v>20476927.013766222</c:v>
                </c:pt>
                <c:pt idx="1">
                  <c:v>8294238.4117292203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D71-9B97-3AD4DEEB99F6}"/>
            </c:ext>
          </c:extLst>
        </c:ser>
        <c:ser>
          <c:idx val="2"/>
          <c:order val="2"/>
          <c:tx>
            <c:strRef>
              <c:f>'Total Emissions'!$B$30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Emissions'!$C$30,'Total Emissions'!$AH$30)</c:f>
              <c:numCache>
                <c:formatCode>General</c:formatCode>
                <c:ptCount val="2"/>
                <c:pt idx="0">
                  <c:v>18990147.210269999</c:v>
                </c:pt>
                <c:pt idx="1">
                  <c:v>2775663.9537376999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D71-9B97-3AD4DEEB99F6}"/>
            </c:ext>
          </c:extLst>
        </c:ser>
        <c:ser>
          <c:idx val="3"/>
          <c:order val="3"/>
          <c:tx>
            <c:strRef>
              <c:f>'Total Emissions'!$B$33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Emissions'!$C$33,'Total Emissions'!$AH$33)</c:f>
              <c:numCache>
                <c:formatCode>General</c:formatCode>
                <c:ptCount val="2"/>
                <c:pt idx="0">
                  <c:v>9744535.1999999993</c:v>
                </c:pt>
                <c:pt idx="1">
                  <c:v>126918.283691212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83-4D71-9B97-3AD4DEEB99F6}"/>
            </c:ext>
          </c:extLst>
        </c:ser>
        <c:ser>
          <c:idx val="4"/>
          <c:order val="4"/>
          <c:tx>
            <c:strRef>
              <c:f>'Total Emissions'!$B$29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Emissions'!$C$29,'Total Emissions'!$AH$29)</c:f>
              <c:numCache>
                <c:formatCode>General</c:formatCode>
                <c:ptCount val="2"/>
                <c:pt idx="0">
                  <c:v>7899613.5607049996</c:v>
                </c:pt>
                <c:pt idx="1">
                  <c:v>210997.69671732001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83-4D71-9B97-3AD4DEEB99F6}"/>
            </c:ext>
          </c:extLst>
        </c:ser>
        <c:ser>
          <c:idx val="5"/>
          <c:order val="5"/>
          <c:tx>
            <c:strRef>
              <c:f>'Total Emissions'!$B$28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Emissions'!$C$28,'Total Emissions'!$AH$28)</c:f>
              <c:numCache>
                <c:formatCode>General</c:formatCode>
                <c:ptCount val="2"/>
                <c:pt idx="0">
                  <c:v>378717.85989999998</c:v>
                </c:pt>
                <c:pt idx="1">
                  <c:v>498.15882667400001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83-4D71-9B97-3AD4DEEB99F6}"/>
            </c:ext>
          </c:extLst>
        </c:ser>
        <c:ser>
          <c:idx val="6"/>
          <c:order val="6"/>
          <c:tx>
            <c:strRef>
              <c:f>'Total Emissions'!$B$31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Emissions'!$C$31,'Total Emissions'!$AH$31)</c:f>
              <c:numCache>
                <c:formatCode>General</c:formatCode>
                <c:ptCount val="2"/>
                <c:pt idx="0">
                  <c:v>221100.7</c:v>
                </c:pt>
                <c:pt idx="1">
                  <c:v>48338.52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83-4D71-9B97-3AD4DEEB9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70001"/>
        <c:axId val="50070002"/>
      </c:barChart>
      <c:catAx>
        <c:axId val="500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70002"/>
        <c:crosses val="autoZero"/>
        <c:auto val="1"/>
        <c:lblAlgn val="ctr"/>
        <c:lblOffset val="100"/>
        <c:noMultiLvlLbl val="0"/>
      </c:catAx>
      <c:valAx>
        <c:axId val="500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7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'Transportation Energy'!$A$4</c:f>
              <c:strCache>
                <c:ptCount val="1"/>
                <c:pt idx="0">
                  <c:v>AltFuels</c:v>
                </c:pt>
              </c:strCache>
            </c:strRef>
          </c:tx>
          <c:spPr>
            <a:ln w="15875">
              <a:solidFill>
                <a:srgbClr val="203564"/>
              </a:solidFill>
            </a:ln>
          </c:spPr>
          <c:marker>
            <c:symbol val="none"/>
          </c:marker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Energy'!$B$4:$AG$4</c:f>
              <c:numCache>
                <c:formatCode>General</c:formatCode>
                <c:ptCount val="32"/>
                <c:pt idx="0">
                  <c:v>485011285.637694</c:v>
                </c:pt>
                <c:pt idx="1">
                  <c:v>476627736.76712799</c:v>
                </c:pt>
                <c:pt idx="2">
                  <c:v>459814671.46596003</c:v>
                </c:pt>
                <c:pt idx="3">
                  <c:v>440405154.85591</c:v>
                </c:pt>
                <c:pt idx="4">
                  <c:v>422602685.446464</c:v>
                </c:pt>
                <c:pt idx="5">
                  <c:v>401101128.96676803</c:v>
                </c:pt>
                <c:pt idx="6">
                  <c:v>370339923.10721898</c:v>
                </c:pt>
                <c:pt idx="7">
                  <c:v>347108842.49642199</c:v>
                </c:pt>
                <c:pt idx="8">
                  <c:v>323408514.52730203</c:v>
                </c:pt>
                <c:pt idx="9">
                  <c:v>300068684.45640498</c:v>
                </c:pt>
                <c:pt idx="10">
                  <c:v>278349692.57491601</c:v>
                </c:pt>
                <c:pt idx="11">
                  <c:v>260120919.611857</c:v>
                </c:pt>
                <c:pt idx="12">
                  <c:v>244754108.987266</c:v>
                </c:pt>
                <c:pt idx="13">
                  <c:v>231769898.723616</c:v>
                </c:pt>
                <c:pt idx="14">
                  <c:v>220218235.979918</c:v>
                </c:pt>
                <c:pt idx="15">
                  <c:v>207780253.683332</c:v>
                </c:pt>
                <c:pt idx="16">
                  <c:v>197737837.83064699</c:v>
                </c:pt>
                <c:pt idx="17">
                  <c:v>190321126.50787801</c:v>
                </c:pt>
                <c:pt idx="18">
                  <c:v>183103466.936647</c:v>
                </c:pt>
                <c:pt idx="19">
                  <c:v>176392270.27383599</c:v>
                </c:pt>
                <c:pt idx="20">
                  <c:v>171104206.92006999</c:v>
                </c:pt>
                <c:pt idx="21">
                  <c:v>166367099.79397801</c:v>
                </c:pt>
                <c:pt idx="22">
                  <c:v>162670648.084308</c:v>
                </c:pt>
                <c:pt idx="23">
                  <c:v>159228380.52083799</c:v>
                </c:pt>
                <c:pt idx="24">
                  <c:v>156130147.39482501</c:v>
                </c:pt>
                <c:pt idx="25">
                  <c:v>153420866.28109601</c:v>
                </c:pt>
                <c:pt idx="26">
                  <c:v>151093942.99309099</c:v>
                </c:pt>
                <c:pt idx="27">
                  <c:v>149153581.10715601</c:v>
                </c:pt>
                <c:pt idx="28">
                  <c:v>147560073.458132</c:v>
                </c:pt>
                <c:pt idx="29">
                  <c:v>146272452.431656</c:v>
                </c:pt>
                <c:pt idx="30">
                  <c:v>145229305.864618</c:v>
                </c:pt>
                <c:pt idx="31">
                  <c:v>144337343.64432499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E-4D6F-9563-C88B8D9F65FB}"/>
            </c:ext>
          </c:extLst>
        </c:ser>
        <c:ser>
          <c:idx val="1"/>
          <c:order val="1"/>
          <c:marker>
            <c:symbol val="circle"/>
            <c:size val="6"/>
            <c:spPr>
              <a:solidFill>
                <a:srgbClr val="203564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Energy'!$B$4,'Transportation Energy'!$B$2:$AF$2,'Transportation Energy'!$AG$4)</c:f>
              <c:numCache>
                <c:formatCode>General</c:formatCode>
                <c:ptCount val="33"/>
                <c:pt idx="0">
                  <c:v>485011285.637694</c:v>
                </c:pt>
                <c:pt idx="32">
                  <c:v>144337343.64432499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E-4D6F-9563-C88B8D9F65FB}"/>
            </c:ext>
          </c:extLst>
        </c:ser>
        <c:ser>
          <c:idx val="2"/>
          <c:order val="2"/>
          <c:tx>
            <c:strRef>
              <c:f>'Transportation Energy'!$A$5</c:f>
              <c:strCache>
                <c:ptCount val="1"/>
                <c:pt idx="0">
                  <c:v>BAP</c:v>
                </c:pt>
              </c:strCache>
            </c:strRef>
          </c:tx>
          <c:spPr>
            <a:ln w="15875">
              <a:solidFill>
                <a:srgbClr val="43AD4C"/>
              </a:solidFill>
            </a:ln>
          </c:spPr>
          <c:marker>
            <c:symbol val="none"/>
          </c:marker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Energy'!$B$5:$AG$5</c:f>
              <c:numCache>
                <c:formatCode>General</c:formatCode>
                <c:ptCount val="32"/>
                <c:pt idx="0">
                  <c:v>485011285.637694</c:v>
                </c:pt>
                <c:pt idx="1">
                  <c:v>476251318.30788201</c:v>
                </c:pt>
                <c:pt idx="2">
                  <c:v>468731671.29233998</c:v>
                </c:pt>
                <c:pt idx="3">
                  <c:v>458008187.227112</c:v>
                </c:pt>
                <c:pt idx="4">
                  <c:v>448366847.52575701</c:v>
                </c:pt>
                <c:pt idx="5">
                  <c:v>434172036.952784</c:v>
                </c:pt>
                <c:pt idx="6">
                  <c:v>408945340.38623601</c:v>
                </c:pt>
                <c:pt idx="7">
                  <c:v>391007330.47014201</c:v>
                </c:pt>
                <c:pt idx="8">
                  <c:v>371579998.757043</c:v>
                </c:pt>
                <c:pt idx="9">
                  <c:v>351567376.11194801</c:v>
                </c:pt>
                <c:pt idx="10">
                  <c:v>332471447.83422798</c:v>
                </c:pt>
                <c:pt idx="11">
                  <c:v>316664044.22082198</c:v>
                </c:pt>
                <c:pt idx="12">
                  <c:v>303586307.34400803</c:v>
                </c:pt>
                <c:pt idx="13">
                  <c:v>292817267.177616</c:v>
                </c:pt>
                <c:pt idx="14">
                  <c:v>283265003.06838</c:v>
                </c:pt>
                <c:pt idx="15">
                  <c:v>271947294.61590803</c:v>
                </c:pt>
                <c:pt idx="16">
                  <c:v>263195577.97155401</c:v>
                </c:pt>
                <c:pt idx="17">
                  <c:v>253924802.02806699</c:v>
                </c:pt>
                <c:pt idx="18">
                  <c:v>244695972.163293</c:v>
                </c:pt>
                <c:pt idx="19">
                  <c:v>235940895.09630001</c:v>
                </c:pt>
                <c:pt idx="20">
                  <c:v>230108811.582187</c:v>
                </c:pt>
                <c:pt idx="21">
                  <c:v>224880978.35067999</c:v>
                </c:pt>
                <c:pt idx="22">
                  <c:v>219722386.92099899</c:v>
                </c:pt>
                <c:pt idx="23">
                  <c:v>214918188.990125</c:v>
                </c:pt>
                <c:pt idx="24">
                  <c:v>210606466.13601199</c:v>
                </c:pt>
                <c:pt idx="25">
                  <c:v>206858576.84486899</c:v>
                </c:pt>
                <c:pt idx="26">
                  <c:v>203668633.13345</c:v>
                </c:pt>
                <c:pt idx="27">
                  <c:v>201040363.180655</c:v>
                </c:pt>
                <c:pt idx="28">
                  <c:v>198921579.27481201</c:v>
                </c:pt>
                <c:pt idx="29">
                  <c:v>197252128.40878299</c:v>
                </c:pt>
                <c:pt idx="30">
                  <c:v>195941573.939464</c:v>
                </c:pt>
                <c:pt idx="31">
                  <c:v>194851445.47941601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EE-4D6F-9563-C88B8D9F65FB}"/>
            </c:ext>
          </c:extLst>
        </c:ser>
        <c:ser>
          <c:idx val="3"/>
          <c:order val="3"/>
          <c:marker>
            <c:symbol val="circle"/>
            <c:size val="6"/>
            <c:spPr>
              <a:solidFill>
                <a:srgbClr val="43AD4C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Energy'!$B$5,'Transportation Energy'!$B$2:$AF$2,'Transportation Energy'!$AG$5)</c:f>
              <c:numCache>
                <c:formatCode>General</c:formatCode>
                <c:ptCount val="33"/>
                <c:pt idx="0">
                  <c:v>485011285.637694</c:v>
                </c:pt>
                <c:pt idx="32">
                  <c:v>194851445.47941601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EE-4D6F-9563-C88B8D9F65FB}"/>
            </c:ext>
          </c:extLst>
        </c:ser>
        <c:ser>
          <c:idx val="4"/>
          <c:order val="4"/>
          <c:tx>
            <c:strRef>
              <c:f>'Transportation Energy'!$A$6</c:f>
              <c:strCache>
                <c:ptCount val="1"/>
                <c:pt idx="0">
                  <c:v>BAU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Energy'!$B$6:$AG$6</c:f>
              <c:numCache>
                <c:formatCode>General</c:formatCode>
                <c:ptCount val="32"/>
                <c:pt idx="0">
                  <c:v>485011285.637694</c:v>
                </c:pt>
                <c:pt idx="1">
                  <c:v>477710447.23049998</c:v>
                </c:pt>
                <c:pt idx="2">
                  <c:v>477885105.22183102</c:v>
                </c:pt>
                <c:pt idx="3">
                  <c:v>474679127.81839103</c:v>
                </c:pt>
                <c:pt idx="4">
                  <c:v>472509848.58019799</c:v>
                </c:pt>
                <c:pt idx="5">
                  <c:v>466964724.84656501</c:v>
                </c:pt>
                <c:pt idx="6">
                  <c:v>449834046.33483398</c:v>
                </c:pt>
                <c:pt idx="7">
                  <c:v>440275711.520064</c:v>
                </c:pt>
                <c:pt idx="8">
                  <c:v>429808009.84548199</c:v>
                </c:pt>
                <c:pt idx="9">
                  <c:v>419402703.72272003</c:v>
                </c:pt>
                <c:pt idx="10">
                  <c:v>410271596.92126298</c:v>
                </c:pt>
                <c:pt idx="11">
                  <c:v>404828853.584216</c:v>
                </c:pt>
                <c:pt idx="12">
                  <c:v>401735503.733172</c:v>
                </c:pt>
                <c:pt idx="13">
                  <c:v>400819309.26432103</c:v>
                </c:pt>
                <c:pt idx="14">
                  <c:v>400976944.48104501</c:v>
                </c:pt>
                <c:pt idx="15">
                  <c:v>399436417.32986599</c:v>
                </c:pt>
                <c:pt idx="16">
                  <c:v>400253235.710033</c:v>
                </c:pt>
                <c:pt idx="17">
                  <c:v>400459132.56473798</c:v>
                </c:pt>
                <c:pt idx="18">
                  <c:v>400639122.431651</c:v>
                </c:pt>
                <c:pt idx="19">
                  <c:v>401002552.18839401</c:v>
                </c:pt>
                <c:pt idx="20">
                  <c:v>401810872.66995603</c:v>
                </c:pt>
                <c:pt idx="21">
                  <c:v>403011675.64352602</c:v>
                </c:pt>
                <c:pt idx="22">
                  <c:v>403943749.18996602</c:v>
                </c:pt>
                <c:pt idx="23">
                  <c:v>404751913.85989398</c:v>
                </c:pt>
                <c:pt idx="24">
                  <c:v>405494527.37068897</c:v>
                </c:pt>
                <c:pt idx="25">
                  <c:v>406303830.78061599</c:v>
                </c:pt>
                <c:pt idx="26">
                  <c:v>407277896.82881802</c:v>
                </c:pt>
                <c:pt idx="27">
                  <c:v>408511445.94180697</c:v>
                </c:pt>
                <c:pt idx="28">
                  <c:v>410053775.45675802</c:v>
                </c:pt>
                <c:pt idx="29">
                  <c:v>411921333.93778402</c:v>
                </c:pt>
                <c:pt idx="30">
                  <c:v>414079466.65351897</c:v>
                </c:pt>
                <c:pt idx="31">
                  <c:v>416378576.49445897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EE-4D6F-9563-C88B8D9F65FB}"/>
            </c:ext>
          </c:extLst>
        </c:ser>
        <c:ser>
          <c:idx val="5"/>
          <c:order val="5"/>
          <c:marker>
            <c:symbol val="circle"/>
            <c:size val="6"/>
            <c:spPr>
              <a:solidFill>
                <a:srgbClr val="F282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Energy'!$B$6,'Transportation Energy'!$B$2:$AF$2,'Transportation Energy'!$AG$6)</c:f>
              <c:numCache>
                <c:formatCode>General</c:formatCode>
                <c:ptCount val="33"/>
                <c:pt idx="0">
                  <c:v>485011285.637694</c:v>
                </c:pt>
                <c:pt idx="32">
                  <c:v>416378576.49445897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EE-4D6F-9563-C88B8D9F65FB}"/>
            </c:ext>
          </c:extLst>
        </c:ser>
        <c:ser>
          <c:idx val="6"/>
          <c:order val="6"/>
          <c:tx>
            <c:strRef>
              <c:f>'Transportation Energy'!$A$7</c:f>
              <c:strCache>
                <c:ptCount val="1"/>
                <c:pt idx="0">
                  <c:v>Elec</c:v>
                </c:pt>
              </c:strCache>
            </c:strRef>
          </c:tx>
          <c:spPr>
            <a:ln w="15875">
              <a:solidFill>
                <a:srgbClr val="E7C92E"/>
              </a:solidFill>
            </a:ln>
          </c:spPr>
          <c:marker>
            <c:symbol val="none"/>
          </c:marker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Energy'!$B$7:$AG$7</c:f>
              <c:numCache>
                <c:formatCode>General</c:formatCode>
                <c:ptCount val="32"/>
                <c:pt idx="0">
                  <c:v>485011285.637694</c:v>
                </c:pt>
                <c:pt idx="1">
                  <c:v>476484342.63805002</c:v>
                </c:pt>
                <c:pt idx="2">
                  <c:v>457518527.01606297</c:v>
                </c:pt>
                <c:pt idx="3">
                  <c:v>436138909.36892998</c:v>
                </c:pt>
                <c:pt idx="4">
                  <c:v>416548297.02216202</c:v>
                </c:pt>
                <c:pt idx="5">
                  <c:v>393438549.88197398</c:v>
                </c:pt>
                <c:pt idx="6">
                  <c:v>361226188.99194598</c:v>
                </c:pt>
                <c:pt idx="7">
                  <c:v>336743133.66914803</c:v>
                </c:pt>
                <c:pt idx="8">
                  <c:v>311956596.432845</c:v>
                </c:pt>
                <c:pt idx="9">
                  <c:v>287626907.30954498</c:v>
                </c:pt>
                <c:pt idx="10">
                  <c:v>264986121.33373699</c:v>
                </c:pt>
                <c:pt idx="11">
                  <c:v>245867562.65454599</c:v>
                </c:pt>
                <c:pt idx="12">
                  <c:v>229628249.684558</c:v>
                </c:pt>
                <c:pt idx="13">
                  <c:v>215763261.77737001</c:v>
                </c:pt>
                <c:pt idx="14">
                  <c:v>203318117.25886199</c:v>
                </c:pt>
                <c:pt idx="15">
                  <c:v>189973961.87971199</c:v>
                </c:pt>
                <c:pt idx="16">
                  <c:v>179013024.040095</c:v>
                </c:pt>
                <c:pt idx="17">
                  <c:v>172051758.99847099</c:v>
                </c:pt>
                <c:pt idx="18">
                  <c:v>165243362.67146701</c:v>
                </c:pt>
                <c:pt idx="19">
                  <c:v>158901023.03434399</c:v>
                </c:pt>
                <c:pt idx="20">
                  <c:v>153947132.632431</c:v>
                </c:pt>
                <c:pt idx="21">
                  <c:v>149514769.52490199</c:v>
                </c:pt>
                <c:pt idx="22">
                  <c:v>146107945.543268</c:v>
                </c:pt>
                <c:pt idx="23">
                  <c:v>142936262.80380499</c:v>
                </c:pt>
                <c:pt idx="24">
                  <c:v>140093561.454059</c:v>
                </c:pt>
                <c:pt idx="25">
                  <c:v>137629016.84202501</c:v>
                </c:pt>
                <c:pt idx="26">
                  <c:v>135539744.085926</c:v>
                </c:pt>
                <c:pt idx="27">
                  <c:v>133827154.65333299</c:v>
                </c:pt>
                <c:pt idx="28">
                  <c:v>132459172.040038</c:v>
                </c:pt>
                <c:pt idx="29">
                  <c:v>131395827.593018</c:v>
                </c:pt>
                <c:pt idx="30">
                  <c:v>130576115.23689599</c:v>
                </c:pt>
                <c:pt idx="31">
                  <c:v>129906890.59395599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EE-4D6F-9563-C88B8D9F65FB}"/>
            </c:ext>
          </c:extLst>
        </c:ser>
        <c:ser>
          <c:idx val="7"/>
          <c:order val="7"/>
          <c:marker>
            <c:symbol val="circle"/>
            <c:size val="6"/>
            <c:spPr>
              <a:solidFill>
                <a:srgbClr val="E7C9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Energy'!$B$7,'Transportation Energy'!$B$2:$AF$2,'Transportation Energy'!$AG$7)</c:f>
              <c:numCache>
                <c:formatCode>General</c:formatCode>
                <c:ptCount val="33"/>
                <c:pt idx="0">
                  <c:v>485011285.637694</c:v>
                </c:pt>
                <c:pt idx="32">
                  <c:v>129906890.59395599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EE-4D6F-9563-C88B8D9F65FB}"/>
            </c:ext>
          </c:extLst>
        </c:ser>
        <c:ser>
          <c:idx val="8"/>
          <c:order val="8"/>
          <c:tx>
            <c:strRef>
              <c:f>'Transportation Energy'!$A$8</c:f>
              <c:strCache>
                <c:ptCount val="1"/>
                <c:pt idx="0">
                  <c:v>Hybrid</c:v>
                </c:pt>
              </c:strCache>
            </c:strRef>
          </c:tx>
          <c:spPr>
            <a:ln w="15875">
              <a:solidFill>
                <a:srgbClr val="D55BA0"/>
              </a:solidFill>
            </a:ln>
          </c:spPr>
          <c:marker>
            <c:symbol val="none"/>
          </c:marker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Energy'!$B$8:$AG$8</c:f>
              <c:numCache>
                <c:formatCode>General</c:formatCode>
                <c:ptCount val="32"/>
                <c:pt idx="0">
                  <c:v>485011285.637694</c:v>
                </c:pt>
                <c:pt idx="1">
                  <c:v>476627736.76712799</c:v>
                </c:pt>
                <c:pt idx="2">
                  <c:v>459814671.46596003</c:v>
                </c:pt>
                <c:pt idx="3">
                  <c:v>440405154.85591</c:v>
                </c:pt>
                <c:pt idx="4">
                  <c:v>422602685.35251701</c:v>
                </c:pt>
                <c:pt idx="5">
                  <c:v>401101129.13078201</c:v>
                </c:pt>
                <c:pt idx="6">
                  <c:v>370339922.99888402</c:v>
                </c:pt>
                <c:pt idx="7">
                  <c:v>347108842.49642003</c:v>
                </c:pt>
                <c:pt idx="8">
                  <c:v>323408514.17875701</c:v>
                </c:pt>
                <c:pt idx="9">
                  <c:v>300068684.45640498</c:v>
                </c:pt>
                <c:pt idx="10">
                  <c:v>278349692.02127099</c:v>
                </c:pt>
                <c:pt idx="11">
                  <c:v>260120920.611963</c:v>
                </c:pt>
                <c:pt idx="12">
                  <c:v>244754108.987268</c:v>
                </c:pt>
                <c:pt idx="13">
                  <c:v>231769898.723616</c:v>
                </c:pt>
                <c:pt idx="14">
                  <c:v>220218236.45849201</c:v>
                </c:pt>
                <c:pt idx="15">
                  <c:v>207780255.271312</c:v>
                </c:pt>
                <c:pt idx="16">
                  <c:v>197737837.83064699</c:v>
                </c:pt>
                <c:pt idx="17">
                  <c:v>190321126.50787801</c:v>
                </c:pt>
                <c:pt idx="18">
                  <c:v>183103466.93664801</c:v>
                </c:pt>
                <c:pt idx="19">
                  <c:v>176392269.58362299</c:v>
                </c:pt>
                <c:pt idx="20">
                  <c:v>171104205.832378</c:v>
                </c:pt>
                <c:pt idx="21">
                  <c:v>166367100.927524</c:v>
                </c:pt>
                <c:pt idx="22">
                  <c:v>162670648.47998399</c:v>
                </c:pt>
                <c:pt idx="23">
                  <c:v>159228380.109575</c:v>
                </c:pt>
                <c:pt idx="24">
                  <c:v>156130145.27394399</c:v>
                </c:pt>
                <c:pt idx="25">
                  <c:v>153420864.54288799</c:v>
                </c:pt>
                <c:pt idx="26">
                  <c:v>151093942.99309</c:v>
                </c:pt>
                <c:pt idx="27">
                  <c:v>149153582.90342399</c:v>
                </c:pt>
                <c:pt idx="28">
                  <c:v>147560070.73471501</c:v>
                </c:pt>
                <c:pt idx="29">
                  <c:v>146272450.601309</c:v>
                </c:pt>
                <c:pt idx="30">
                  <c:v>145229305.864618</c:v>
                </c:pt>
                <c:pt idx="31">
                  <c:v>144337342.71927899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EE-4D6F-9563-C88B8D9F65FB}"/>
            </c:ext>
          </c:extLst>
        </c:ser>
        <c:ser>
          <c:idx val="9"/>
          <c:order val="9"/>
          <c:marker>
            <c:symbol val="circle"/>
            <c:size val="6"/>
            <c:spPr>
              <a:solidFill>
                <a:srgbClr val="D55BA0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Energy'!$B$3:$AG$3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Energy'!$B$8,'Transportation Energy'!$B$2:$AF$2,'Transportation Energy'!$AG$8)</c:f>
              <c:numCache>
                <c:formatCode>General</c:formatCode>
                <c:ptCount val="33"/>
                <c:pt idx="0">
                  <c:v>485011285.637694</c:v>
                </c:pt>
                <c:pt idx="32">
                  <c:v>144337342.71927899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EE-4D6F-9563-C88B8D9F6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00001"/>
        <c:axId val="50700002"/>
      </c:lineChart>
      <c:catAx>
        <c:axId val="507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00002"/>
        <c:crosses val="autoZero"/>
        <c:auto val="1"/>
        <c:lblAlgn val="ctr"/>
        <c:lblOffset val="100"/>
        <c:tickLblSkip val="2"/>
        <c:noMultiLvlLbl val="0"/>
      </c:catAx>
      <c:valAx>
        <c:axId val="507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00001"/>
        <c:crosses val="autoZero"/>
        <c:crossBetween val="between"/>
        <c:dispUnits>
          <c:builtInUnit val="millions"/>
        </c:dispUnits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9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Energy'!$B$13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Energy'!$C$13:$AH$13</c:f>
              <c:numCache>
                <c:formatCode>General</c:formatCode>
                <c:ptCount val="32"/>
                <c:pt idx="0">
                  <c:v>344926069.060785</c:v>
                </c:pt>
                <c:pt idx="1">
                  <c:v>344177301.59786898</c:v>
                </c:pt>
                <c:pt idx="2">
                  <c:v>329323043.29132402</c:v>
                </c:pt>
                <c:pt idx="3">
                  <c:v>312288495.639884</c:v>
                </c:pt>
                <c:pt idx="4">
                  <c:v>296353569.241988</c:v>
                </c:pt>
                <c:pt idx="5">
                  <c:v>276729577.24340397</c:v>
                </c:pt>
                <c:pt idx="6">
                  <c:v>246714807.13697201</c:v>
                </c:pt>
                <c:pt idx="7">
                  <c:v>225111804.531115</c:v>
                </c:pt>
                <c:pt idx="8">
                  <c:v>202024370.16709301</c:v>
                </c:pt>
                <c:pt idx="9">
                  <c:v>178511683.472978</c:v>
                </c:pt>
                <c:pt idx="10">
                  <c:v>156075308.38494501</c:v>
                </c:pt>
                <c:pt idx="11">
                  <c:v>136612471.154771</c:v>
                </c:pt>
                <c:pt idx="12">
                  <c:v>120095479.678232</c:v>
                </c:pt>
                <c:pt idx="13">
                  <c:v>105835415.455843</c:v>
                </c:pt>
                <c:pt idx="14">
                  <c:v>92930430.476091012</c:v>
                </c:pt>
                <c:pt idx="15">
                  <c:v>78802111.378447995</c:v>
                </c:pt>
                <c:pt idx="16">
                  <c:v>66993615.737668999</c:v>
                </c:pt>
                <c:pt idx="17">
                  <c:v>58494174.434138</c:v>
                </c:pt>
                <c:pt idx="18">
                  <c:v>50048764.249352999</c:v>
                </c:pt>
                <c:pt idx="19">
                  <c:v>42094830.079347</c:v>
                </c:pt>
                <c:pt idx="20">
                  <c:v>35416686.180210002</c:v>
                </c:pt>
                <c:pt idx="21">
                  <c:v>29467152.461201001</c:v>
                </c:pt>
                <c:pt idx="22">
                  <c:v>24157507.789143</c:v>
                </c:pt>
                <c:pt idx="23">
                  <c:v>19328196.480292998</c:v>
                </c:pt>
                <c:pt idx="24">
                  <c:v>15116046.224835999</c:v>
                </c:pt>
                <c:pt idx="25">
                  <c:v>11550025.233315</c:v>
                </c:pt>
                <c:pt idx="26">
                  <c:v>8584650.0786160007</c:v>
                </c:pt>
                <c:pt idx="27">
                  <c:v>6165961.160805</c:v>
                </c:pt>
                <c:pt idx="28">
                  <c:v>4237493.0143820001</c:v>
                </c:pt>
                <c:pt idx="29">
                  <c:v>2724187.3789220001</c:v>
                </c:pt>
                <c:pt idx="30">
                  <c:v>1535964.4416720001</c:v>
                </c:pt>
                <c:pt idx="31">
                  <c:v>571681.38215900003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B-4BA9-9062-06FB737245DC}"/>
            </c:ext>
          </c:extLst>
        </c:ser>
        <c:ser>
          <c:idx val="1"/>
          <c:order val="1"/>
          <c:tx>
            <c:strRef>
              <c:f>'Transportation Energy'!$B$12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Energy'!$C$12:$AH$12</c:f>
              <c:numCache>
                <c:formatCode>General</c:formatCode>
                <c:ptCount val="32"/>
                <c:pt idx="0">
                  <c:v>139372488.64840001</c:v>
                </c:pt>
                <c:pt idx="1">
                  <c:v>130275194.69847301</c:v>
                </c:pt>
                <c:pt idx="2">
                  <c:v>121634593.913798</c:v>
                </c:pt>
                <c:pt idx="3">
                  <c:v>112766399.472582</c:v>
                </c:pt>
                <c:pt idx="4">
                  <c:v>104466168.96682</c:v>
                </c:pt>
                <c:pt idx="5">
                  <c:v>96194376.993059993</c:v>
                </c:pt>
                <c:pt idx="6">
                  <c:v>88740979.692531005</c:v>
                </c:pt>
                <c:pt idx="7">
                  <c:v>80612268.43073</c:v>
                </c:pt>
                <c:pt idx="8">
                  <c:v>72969753.84750399</c:v>
                </c:pt>
                <c:pt idx="9">
                  <c:v>65554039.903021991</c:v>
                </c:pt>
                <c:pt idx="10">
                  <c:v>58372006.225368999</c:v>
                </c:pt>
                <c:pt idx="11">
                  <c:v>51590100.886451997</c:v>
                </c:pt>
                <c:pt idx="12">
                  <c:v>45133111.003702</c:v>
                </c:pt>
                <c:pt idx="13">
                  <c:v>39042345.654806003</c:v>
                </c:pt>
                <c:pt idx="14">
                  <c:v>33143728.761037</c:v>
                </c:pt>
                <c:pt idx="15">
                  <c:v>27269421.306823</c:v>
                </c:pt>
                <c:pt idx="16">
                  <c:v>21820830.514001999</c:v>
                </c:pt>
                <c:pt idx="17">
                  <c:v>19873907.256296001</c:v>
                </c:pt>
                <c:pt idx="18">
                  <c:v>17953209.463270001</c:v>
                </c:pt>
                <c:pt idx="19">
                  <c:v>16107370.059589</c:v>
                </c:pt>
                <c:pt idx="20">
                  <c:v>14576252.816215999</c:v>
                </c:pt>
                <c:pt idx="21">
                  <c:v>13133945.39043</c:v>
                </c:pt>
                <c:pt idx="22">
                  <c:v>11770935.794918001</c:v>
                </c:pt>
                <c:pt idx="23">
                  <c:v>10469353.249453999</c:v>
                </c:pt>
                <c:pt idx="24">
                  <c:v>9244346.1025329996</c:v>
                </c:pt>
                <c:pt idx="25">
                  <c:v>8098916.5002490003</c:v>
                </c:pt>
                <c:pt idx="26">
                  <c:v>7027512.9605249995</c:v>
                </c:pt>
                <c:pt idx="27">
                  <c:v>6024690.1716210004</c:v>
                </c:pt>
                <c:pt idx="28">
                  <c:v>5082437.9448690005</c:v>
                </c:pt>
                <c:pt idx="29">
                  <c:v>4192345.7630969998</c:v>
                </c:pt>
                <c:pt idx="30">
                  <c:v>3344277.3094739998</c:v>
                </c:pt>
                <c:pt idx="31">
                  <c:v>2526709.4908179999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B-4BA9-9062-06FB737245DC}"/>
            </c:ext>
          </c:extLst>
        </c:ser>
        <c:ser>
          <c:idx val="2"/>
          <c:order val="2"/>
          <c:tx>
            <c:strRef>
              <c:f>'Transportation Energy'!$B$16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Energy'!$C$16:$AH$16</c:f>
              <c:numCache>
                <c:formatCode>General</c:formatCode>
                <c:ptCount val="32"/>
                <c:pt idx="0">
                  <c:v>521179.24215300003</c:v>
                </c:pt>
                <c:pt idx="1">
                  <c:v>1455909.2343820001</c:v>
                </c:pt>
                <c:pt idx="2">
                  <c:v>5265597.5929840002</c:v>
                </c:pt>
                <c:pt idx="3">
                  <c:v>8964839.5765799992</c:v>
                </c:pt>
                <c:pt idx="4">
                  <c:v>12796858.79136</c:v>
                </c:pt>
                <c:pt idx="5">
                  <c:v>16809687.117376</c:v>
                </c:pt>
                <c:pt idx="6">
                  <c:v>18677658.519003</c:v>
                </c:pt>
                <c:pt idx="7">
                  <c:v>22741698.658481002</c:v>
                </c:pt>
                <c:pt idx="8">
                  <c:v>27407051.249435</c:v>
                </c:pt>
                <c:pt idx="9">
                  <c:v>32630057.223756999</c:v>
                </c:pt>
                <c:pt idx="10">
                  <c:v>38088317.494319998</c:v>
                </c:pt>
                <c:pt idx="11">
                  <c:v>42722414.740902998</c:v>
                </c:pt>
                <c:pt idx="12">
                  <c:v>48039507.282825999</c:v>
                </c:pt>
                <c:pt idx="13">
                  <c:v>53300192.592930987</c:v>
                </c:pt>
                <c:pt idx="14">
                  <c:v>58627415.058599003</c:v>
                </c:pt>
                <c:pt idx="15">
                  <c:v>64411724.802005</c:v>
                </c:pt>
                <c:pt idx="16">
                  <c:v>69920776.340489</c:v>
                </c:pt>
                <c:pt idx="17">
                  <c:v>72585456.298823997</c:v>
                </c:pt>
                <c:pt idx="18">
                  <c:v>75465975.129573002</c:v>
                </c:pt>
                <c:pt idx="19">
                  <c:v>78504465.73206</c:v>
                </c:pt>
                <c:pt idx="20">
                  <c:v>81714464.190413997</c:v>
                </c:pt>
                <c:pt idx="21">
                  <c:v>84836844.505733997</c:v>
                </c:pt>
                <c:pt idx="22">
                  <c:v>86396636.411140993</c:v>
                </c:pt>
                <c:pt idx="23">
                  <c:v>87574165.147376999</c:v>
                </c:pt>
                <c:pt idx="24">
                  <c:v>88466550.143088996</c:v>
                </c:pt>
                <c:pt idx="25">
                  <c:v>89151480.571727991</c:v>
                </c:pt>
                <c:pt idx="26">
                  <c:v>88970713.037818</c:v>
                </c:pt>
                <c:pt idx="27">
                  <c:v>89250336.824374005</c:v>
                </c:pt>
                <c:pt idx="28">
                  <c:v>89420576.353080988</c:v>
                </c:pt>
                <c:pt idx="29">
                  <c:v>89508609.714388996</c:v>
                </c:pt>
                <c:pt idx="30">
                  <c:v>89621301.755892009</c:v>
                </c:pt>
                <c:pt idx="31">
                  <c:v>89490152.336160988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B-4BA9-9062-06FB737245DC}"/>
            </c:ext>
          </c:extLst>
        </c:ser>
        <c:ser>
          <c:idx val="3"/>
          <c:order val="3"/>
          <c:tx>
            <c:strRef>
              <c:f>'Transportation Energy'!$B$17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Energy'!$C$17:$AH$17</c:f>
              <c:numCache>
                <c:formatCode>General</c:formatCode>
                <c:ptCount val="32"/>
                <c:pt idx="0">
                  <c:v>180038.520964</c:v>
                </c:pt>
                <c:pt idx="1">
                  <c:v>180038.520964</c:v>
                </c:pt>
                <c:pt idx="2">
                  <c:v>180038.520964</c:v>
                </c:pt>
                <c:pt idx="3">
                  <c:v>180038.520964</c:v>
                </c:pt>
                <c:pt idx="4">
                  <c:v>180038.520964</c:v>
                </c:pt>
                <c:pt idx="5">
                  <c:v>180038.520964</c:v>
                </c:pt>
                <c:pt idx="6">
                  <c:v>180038.520964</c:v>
                </c:pt>
                <c:pt idx="7">
                  <c:v>180038.520964</c:v>
                </c:pt>
                <c:pt idx="8">
                  <c:v>180038.520964</c:v>
                </c:pt>
                <c:pt idx="9">
                  <c:v>180038.520964</c:v>
                </c:pt>
                <c:pt idx="10">
                  <c:v>180038.520964</c:v>
                </c:pt>
                <c:pt idx="11">
                  <c:v>180038.520964</c:v>
                </c:pt>
                <c:pt idx="12">
                  <c:v>180038.520964</c:v>
                </c:pt>
                <c:pt idx="13">
                  <c:v>180038.520964</c:v>
                </c:pt>
                <c:pt idx="14">
                  <c:v>180038.520964</c:v>
                </c:pt>
                <c:pt idx="15">
                  <c:v>180038.520964</c:v>
                </c:pt>
                <c:pt idx="16">
                  <c:v>180038.520964</c:v>
                </c:pt>
                <c:pt idx="17">
                  <c:v>180038.520964</c:v>
                </c:pt>
                <c:pt idx="18">
                  <c:v>180038.520964</c:v>
                </c:pt>
                <c:pt idx="19">
                  <c:v>180038.520964</c:v>
                </c:pt>
                <c:pt idx="20">
                  <c:v>180038.520964</c:v>
                </c:pt>
                <c:pt idx="21">
                  <c:v>180038.520964</c:v>
                </c:pt>
                <c:pt idx="22">
                  <c:v>180038.520964</c:v>
                </c:pt>
                <c:pt idx="23">
                  <c:v>180038.520964</c:v>
                </c:pt>
                <c:pt idx="24">
                  <c:v>180038.520964</c:v>
                </c:pt>
                <c:pt idx="25">
                  <c:v>180038.520964</c:v>
                </c:pt>
                <c:pt idx="26">
                  <c:v>180038.520964</c:v>
                </c:pt>
                <c:pt idx="27">
                  <c:v>180038.520964</c:v>
                </c:pt>
                <c:pt idx="28">
                  <c:v>180038.520964</c:v>
                </c:pt>
                <c:pt idx="29">
                  <c:v>180038.520964</c:v>
                </c:pt>
                <c:pt idx="30">
                  <c:v>180038.520964</c:v>
                </c:pt>
                <c:pt idx="31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1B-4BA9-9062-06FB737245DC}"/>
            </c:ext>
          </c:extLst>
        </c:ser>
        <c:ser>
          <c:idx val="4"/>
          <c:order val="4"/>
          <c:tx>
            <c:strRef>
              <c:f>'Transportation Energy'!$B$14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Energy'!$C$14:$AH$14</c:f>
              <c:numCache>
                <c:formatCode>General</c:formatCode>
                <c:ptCount val="32"/>
                <c:pt idx="0">
                  <c:v>11510.165392000001</c:v>
                </c:pt>
                <c:pt idx="1">
                  <c:v>29605.440417000002</c:v>
                </c:pt>
                <c:pt idx="2">
                  <c:v>188179.692625</c:v>
                </c:pt>
                <c:pt idx="3">
                  <c:v>469399.90859800001</c:v>
                </c:pt>
                <c:pt idx="4">
                  <c:v>757406.69432100002</c:v>
                </c:pt>
                <c:pt idx="5">
                  <c:v>1024056.474742</c:v>
                </c:pt>
                <c:pt idx="6">
                  <c:v>3920626.2692979998</c:v>
                </c:pt>
                <c:pt idx="7">
                  <c:v>4644176.164167</c:v>
                </c:pt>
                <c:pt idx="8">
                  <c:v>5480344.9565900005</c:v>
                </c:pt>
                <c:pt idx="9">
                  <c:v>6425132.7014340004</c:v>
                </c:pt>
                <c:pt idx="10">
                  <c:v>7521328.2641129997</c:v>
                </c:pt>
                <c:pt idx="11">
                  <c:v>9593804.1107430011</c:v>
                </c:pt>
                <c:pt idx="12">
                  <c:v>10597178.031695999</c:v>
                </c:pt>
                <c:pt idx="13">
                  <c:v>11408033.328473</c:v>
                </c:pt>
                <c:pt idx="14">
                  <c:v>12024530.989305001</c:v>
                </c:pt>
                <c:pt idx="15">
                  <c:v>12483674.695002001</c:v>
                </c:pt>
                <c:pt idx="16">
                  <c:v>12855637.702199999</c:v>
                </c:pt>
                <c:pt idx="17">
                  <c:v>13260975.881277001</c:v>
                </c:pt>
                <c:pt idx="18">
                  <c:v>13522779.060777999</c:v>
                </c:pt>
                <c:pt idx="19">
                  <c:v>13525910.444252999</c:v>
                </c:pt>
                <c:pt idx="20">
                  <c:v>13155093.611168999</c:v>
                </c:pt>
                <c:pt idx="21">
                  <c:v>12575756.951571001</c:v>
                </c:pt>
                <c:pt idx="22">
                  <c:v>13870623.109153001</c:v>
                </c:pt>
                <c:pt idx="23">
                  <c:v>15242041.317212</c:v>
                </c:pt>
                <c:pt idx="24">
                  <c:v>16535109.427510999</c:v>
                </c:pt>
                <c:pt idx="25">
                  <c:v>17689842.374171</c:v>
                </c:pt>
                <c:pt idx="26">
                  <c:v>19413143.141139999</c:v>
                </c:pt>
                <c:pt idx="27">
                  <c:v>20435888.301394001</c:v>
                </c:pt>
                <c:pt idx="28">
                  <c:v>21364589.753240999</c:v>
                </c:pt>
                <c:pt idx="29">
                  <c:v>22215774.475093</c:v>
                </c:pt>
                <c:pt idx="30">
                  <c:v>22921902.643599998</c:v>
                </c:pt>
                <c:pt idx="31">
                  <c:v>23771058.417523999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1B-4BA9-9062-06FB737245DC}"/>
            </c:ext>
          </c:extLst>
        </c:ser>
        <c:ser>
          <c:idx val="5"/>
          <c:order val="5"/>
          <c:tx>
            <c:strRef>
              <c:f>'Transportation Energy'!$B$15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Energy'!$C$15:$AH$15</c:f>
              <c:numCache>
                <c:formatCode>General</c:formatCode>
                <c:ptCount val="32"/>
                <c:pt idx="0">
                  <c:v>0</c:v>
                </c:pt>
                <c:pt idx="1">
                  <c:v>366293.145945</c:v>
                </c:pt>
                <c:pt idx="2">
                  <c:v>927074.00436799997</c:v>
                </c:pt>
                <c:pt idx="3">
                  <c:v>1469736.2503219999</c:v>
                </c:pt>
                <c:pt idx="4">
                  <c:v>1994254.8067089999</c:v>
                </c:pt>
                <c:pt idx="5">
                  <c:v>2500813.5324280001</c:v>
                </c:pt>
                <c:pt idx="6">
                  <c:v>2992078.8531780001</c:v>
                </c:pt>
                <c:pt idx="7">
                  <c:v>3453147.3636909998</c:v>
                </c:pt>
                <c:pt idx="8">
                  <c:v>3895037.691259</c:v>
                </c:pt>
                <c:pt idx="9">
                  <c:v>4325955.4873900004</c:v>
                </c:pt>
                <c:pt idx="10">
                  <c:v>4749122.4440259999</c:v>
                </c:pt>
                <c:pt idx="11">
                  <c:v>5168733.2407130003</c:v>
                </c:pt>
                <c:pt idx="12">
                  <c:v>5582935.167138</c:v>
                </c:pt>
                <c:pt idx="13">
                  <c:v>5997236.2243529996</c:v>
                </c:pt>
                <c:pt idx="14">
                  <c:v>6411973.4528660001</c:v>
                </c:pt>
                <c:pt idx="15">
                  <c:v>6826991.1764700003</c:v>
                </c:pt>
                <c:pt idx="16">
                  <c:v>7242125.2247710004</c:v>
                </c:pt>
                <c:pt idx="17">
                  <c:v>7657206.6069719996</c:v>
                </c:pt>
                <c:pt idx="18">
                  <c:v>8072596.247529</c:v>
                </c:pt>
                <c:pt idx="19">
                  <c:v>8488408.1981310006</c:v>
                </c:pt>
                <c:pt idx="20">
                  <c:v>8904597.3134579994</c:v>
                </c:pt>
                <c:pt idx="21">
                  <c:v>9321031.6950020008</c:v>
                </c:pt>
                <c:pt idx="22">
                  <c:v>9732203.9179490004</c:v>
                </c:pt>
                <c:pt idx="23">
                  <c:v>10142468.088505</c:v>
                </c:pt>
                <c:pt idx="24">
                  <c:v>10551471.035126001</c:v>
                </c:pt>
                <c:pt idx="25">
                  <c:v>10958713.641597999</c:v>
                </c:pt>
                <c:pt idx="26">
                  <c:v>11363686.346863</c:v>
                </c:pt>
                <c:pt idx="27">
                  <c:v>11770239.674175</c:v>
                </c:pt>
                <c:pt idx="28">
                  <c:v>12174036.453500999</c:v>
                </c:pt>
                <c:pt idx="29">
                  <c:v>12574871.740552999</c:v>
                </c:pt>
                <c:pt idx="30">
                  <c:v>12972630.565293999</c:v>
                </c:pt>
                <c:pt idx="31">
                  <c:v>13367250.44633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1B-4BA9-9062-06FB73724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10001"/>
        <c:axId val="50710002"/>
      </c:areaChart>
      <c:catAx>
        <c:axId val="507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10002"/>
        <c:crosses val="autoZero"/>
        <c:auto val="1"/>
        <c:lblAlgn val="ctr"/>
        <c:lblOffset val="100"/>
        <c:tickLblSkip val="2"/>
        <c:noMultiLvlLbl val="0"/>
      </c:catAx>
      <c:valAx>
        <c:axId val="507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1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Energy'!$B$13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Energy'!$C$13,'Transportation Energy'!$AH$13)</c:f>
              <c:numCache>
                <c:formatCode>General</c:formatCode>
                <c:ptCount val="2"/>
                <c:pt idx="0">
                  <c:v>344926069.060785</c:v>
                </c:pt>
                <c:pt idx="1">
                  <c:v>571681.38215900003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8-4EDB-843A-F8056C33E1A2}"/>
            </c:ext>
          </c:extLst>
        </c:ser>
        <c:ser>
          <c:idx val="1"/>
          <c:order val="1"/>
          <c:tx>
            <c:strRef>
              <c:f>'Transportation Energy'!$B$12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Energy'!$C$12,'Transportation Energy'!$AH$12)</c:f>
              <c:numCache>
                <c:formatCode>General</c:formatCode>
                <c:ptCount val="2"/>
                <c:pt idx="0">
                  <c:v>139372488.64840001</c:v>
                </c:pt>
                <c:pt idx="1">
                  <c:v>2526709.4908179999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8-4EDB-843A-F8056C33E1A2}"/>
            </c:ext>
          </c:extLst>
        </c:ser>
        <c:ser>
          <c:idx val="2"/>
          <c:order val="2"/>
          <c:tx>
            <c:strRef>
              <c:f>'Transportation Energy'!$B$16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Energy'!$C$16,'Transportation Energy'!$AH$16)</c:f>
              <c:numCache>
                <c:formatCode>General</c:formatCode>
                <c:ptCount val="2"/>
                <c:pt idx="0">
                  <c:v>521179.24215300003</c:v>
                </c:pt>
                <c:pt idx="1">
                  <c:v>89490152.336160988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18-4EDB-843A-F8056C33E1A2}"/>
            </c:ext>
          </c:extLst>
        </c:ser>
        <c:ser>
          <c:idx val="3"/>
          <c:order val="3"/>
          <c:tx>
            <c:strRef>
              <c:f>'Transportation Energy'!$B$17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Energy'!$C$17,'Transportation Energy'!$AH$17)</c:f>
              <c:numCache>
                <c:formatCode>General</c:formatCode>
                <c:ptCount val="2"/>
                <c:pt idx="0">
                  <c:v>180038.520964</c:v>
                </c:pt>
                <c:pt idx="1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18-4EDB-843A-F8056C33E1A2}"/>
            </c:ext>
          </c:extLst>
        </c:ser>
        <c:ser>
          <c:idx val="4"/>
          <c:order val="4"/>
          <c:tx>
            <c:strRef>
              <c:f>'Transportation Energy'!$B$14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Energy'!$C$14,'Transportation Energy'!$AH$14)</c:f>
              <c:numCache>
                <c:formatCode>General</c:formatCode>
                <c:ptCount val="2"/>
                <c:pt idx="0">
                  <c:v>11510.165392000001</c:v>
                </c:pt>
                <c:pt idx="1">
                  <c:v>23771058.417523999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18-4EDB-843A-F8056C33E1A2}"/>
            </c:ext>
          </c:extLst>
        </c:ser>
        <c:ser>
          <c:idx val="5"/>
          <c:order val="5"/>
          <c:tx>
            <c:strRef>
              <c:f>'Transportation Energy'!$B$15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Energy'!$C$15,'Transportation Energy'!$AH$15)</c:f>
              <c:numCache>
                <c:formatCode>General</c:formatCode>
                <c:ptCount val="2"/>
                <c:pt idx="0">
                  <c:v>0</c:v>
                </c:pt>
                <c:pt idx="1">
                  <c:v>13367250.44633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18-4EDB-843A-F8056C33E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20001"/>
        <c:axId val="50720002"/>
      </c:barChart>
      <c:catAx>
        <c:axId val="507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20002"/>
        <c:crosses val="autoZero"/>
        <c:auto val="1"/>
        <c:lblAlgn val="ctr"/>
        <c:lblOffset val="100"/>
        <c:noMultiLvlLbl val="0"/>
      </c:catAx>
      <c:valAx>
        <c:axId val="507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Energy'!$B$20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Energy'!$C$20:$AH$20</c:f>
              <c:numCache>
                <c:formatCode>General</c:formatCode>
                <c:ptCount val="32"/>
                <c:pt idx="0">
                  <c:v>344926069.060785</c:v>
                </c:pt>
                <c:pt idx="1">
                  <c:v>344177301.59786898</c:v>
                </c:pt>
                <c:pt idx="2">
                  <c:v>329323043.29132402</c:v>
                </c:pt>
                <c:pt idx="3">
                  <c:v>312288495.639884</c:v>
                </c:pt>
                <c:pt idx="4">
                  <c:v>296353569.241988</c:v>
                </c:pt>
                <c:pt idx="5">
                  <c:v>276729577.24340397</c:v>
                </c:pt>
                <c:pt idx="6">
                  <c:v>246714807.13697201</c:v>
                </c:pt>
                <c:pt idx="7">
                  <c:v>225111804.531115</c:v>
                </c:pt>
                <c:pt idx="8">
                  <c:v>202024370.16709301</c:v>
                </c:pt>
                <c:pt idx="9">
                  <c:v>178511683.472978</c:v>
                </c:pt>
                <c:pt idx="10">
                  <c:v>156075308.38494501</c:v>
                </c:pt>
                <c:pt idx="11">
                  <c:v>136612471.154771</c:v>
                </c:pt>
                <c:pt idx="12">
                  <c:v>120095479.678232</c:v>
                </c:pt>
                <c:pt idx="13">
                  <c:v>105835415.455843</c:v>
                </c:pt>
                <c:pt idx="14">
                  <c:v>92930430.476091012</c:v>
                </c:pt>
                <c:pt idx="15">
                  <c:v>78802111.378447995</c:v>
                </c:pt>
                <c:pt idx="16">
                  <c:v>66993615.737668999</c:v>
                </c:pt>
                <c:pt idx="17">
                  <c:v>58494174.434138</c:v>
                </c:pt>
                <c:pt idx="18">
                  <c:v>50048764.249352999</c:v>
                </c:pt>
                <c:pt idx="19">
                  <c:v>42094830.079347</c:v>
                </c:pt>
                <c:pt idx="20">
                  <c:v>35416686.180210002</c:v>
                </c:pt>
                <c:pt idx="21">
                  <c:v>29467152.461201001</c:v>
                </c:pt>
                <c:pt idx="22">
                  <c:v>24157507.789143</c:v>
                </c:pt>
                <c:pt idx="23">
                  <c:v>19328196.480292998</c:v>
                </c:pt>
                <c:pt idx="24">
                  <c:v>15116046.224835999</c:v>
                </c:pt>
                <c:pt idx="25">
                  <c:v>11550025.233315</c:v>
                </c:pt>
                <c:pt idx="26">
                  <c:v>8584650.0786160007</c:v>
                </c:pt>
                <c:pt idx="27">
                  <c:v>6165961.160805</c:v>
                </c:pt>
                <c:pt idx="28">
                  <c:v>4237493.0143820001</c:v>
                </c:pt>
                <c:pt idx="29">
                  <c:v>2724187.3789220001</c:v>
                </c:pt>
                <c:pt idx="30">
                  <c:v>1535964.4416720001</c:v>
                </c:pt>
                <c:pt idx="31">
                  <c:v>571681.38215900003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534-9F9B-C5331C10184F}"/>
            </c:ext>
          </c:extLst>
        </c:ser>
        <c:ser>
          <c:idx val="1"/>
          <c:order val="1"/>
          <c:tx>
            <c:strRef>
              <c:f>'Transportation Energy'!$B$19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Energy'!$C$19:$AH$19</c:f>
              <c:numCache>
                <c:formatCode>General</c:formatCode>
                <c:ptCount val="32"/>
                <c:pt idx="0">
                  <c:v>139372488.64840001</c:v>
                </c:pt>
                <c:pt idx="1">
                  <c:v>130275194.69847301</c:v>
                </c:pt>
                <c:pt idx="2">
                  <c:v>121634593.913798</c:v>
                </c:pt>
                <c:pt idx="3">
                  <c:v>112766399.472582</c:v>
                </c:pt>
                <c:pt idx="4">
                  <c:v>104466168.96682</c:v>
                </c:pt>
                <c:pt idx="5">
                  <c:v>96194376.993059993</c:v>
                </c:pt>
                <c:pt idx="6">
                  <c:v>88740979.692531005</c:v>
                </c:pt>
                <c:pt idx="7">
                  <c:v>80612268.43073</c:v>
                </c:pt>
                <c:pt idx="8">
                  <c:v>72969753.84750399</c:v>
                </c:pt>
                <c:pt idx="9">
                  <c:v>65554039.903021991</c:v>
                </c:pt>
                <c:pt idx="10">
                  <c:v>58372006.225368999</c:v>
                </c:pt>
                <c:pt idx="11">
                  <c:v>51590100.886451997</c:v>
                </c:pt>
                <c:pt idx="12">
                  <c:v>45133111.003702</c:v>
                </c:pt>
                <c:pt idx="13">
                  <c:v>39042345.654806003</c:v>
                </c:pt>
                <c:pt idx="14">
                  <c:v>33143728.761037</c:v>
                </c:pt>
                <c:pt idx="15">
                  <c:v>27269421.306823</c:v>
                </c:pt>
                <c:pt idx="16">
                  <c:v>21820830.514001999</c:v>
                </c:pt>
                <c:pt idx="17">
                  <c:v>19873907.256296001</c:v>
                </c:pt>
                <c:pt idx="18">
                  <c:v>17953209.463270001</c:v>
                </c:pt>
                <c:pt idx="19">
                  <c:v>16107370.059589</c:v>
                </c:pt>
                <c:pt idx="20">
                  <c:v>14576252.816215999</c:v>
                </c:pt>
                <c:pt idx="21">
                  <c:v>13133945.39043</c:v>
                </c:pt>
                <c:pt idx="22">
                  <c:v>11770935.794918001</c:v>
                </c:pt>
                <c:pt idx="23">
                  <c:v>10469353.249453999</c:v>
                </c:pt>
                <c:pt idx="24">
                  <c:v>9244346.1025329996</c:v>
                </c:pt>
                <c:pt idx="25">
                  <c:v>8098916.5002490003</c:v>
                </c:pt>
                <c:pt idx="26">
                  <c:v>7027512.9605249995</c:v>
                </c:pt>
                <c:pt idx="27">
                  <c:v>6024690.1716210004</c:v>
                </c:pt>
                <c:pt idx="28">
                  <c:v>5082437.9448690005</c:v>
                </c:pt>
                <c:pt idx="29">
                  <c:v>4192345.7630969998</c:v>
                </c:pt>
                <c:pt idx="30">
                  <c:v>3344277.3094739998</c:v>
                </c:pt>
                <c:pt idx="31">
                  <c:v>2526709.4908179999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B-4534-9F9B-C5331C10184F}"/>
            </c:ext>
          </c:extLst>
        </c:ser>
        <c:ser>
          <c:idx val="2"/>
          <c:order val="2"/>
          <c:tx>
            <c:strRef>
              <c:f>'Transportation Energy'!$B$23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Energy'!$C$23:$AH$23</c:f>
              <c:numCache>
                <c:formatCode>General</c:formatCode>
                <c:ptCount val="32"/>
                <c:pt idx="0">
                  <c:v>521179.24215300003</c:v>
                </c:pt>
                <c:pt idx="1">
                  <c:v>935763.26222699997</c:v>
                </c:pt>
                <c:pt idx="2">
                  <c:v>1953932.64124</c:v>
                </c:pt>
                <c:pt idx="3">
                  <c:v>2897148.4754889999</c:v>
                </c:pt>
                <c:pt idx="4">
                  <c:v>3920921.5272630001</c:v>
                </c:pt>
                <c:pt idx="5">
                  <c:v>5027655.1859550001</c:v>
                </c:pt>
                <c:pt idx="6">
                  <c:v>5711124.8548659999</c:v>
                </c:pt>
                <c:pt idx="7">
                  <c:v>7073460.1389169991</c:v>
                </c:pt>
                <c:pt idx="8">
                  <c:v>8949728.6870569997</c:v>
                </c:pt>
                <c:pt idx="9">
                  <c:v>11284108.766860999</c:v>
                </c:pt>
                <c:pt idx="10">
                  <c:v>13864292.752428999</c:v>
                </c:pt>
                <c:pt idx="11">
                  <c:v>16139869.715439999</c:v>
                </c:pt>
                <c:pt idx="12">
                  <c:v>18376709.897555001</c:v>
                </c:pt>
                <c:pt idx="13">
                  <c:v>20435576.174369</c:v>
                </c:pt>
                <c:pt idx="14">
                  <c:v>22413676.880279999</c:v>
                </c:pt>
                <c:pt idx="15">
                  <c:v>24615549.745967001</c:v>
                </c:pt>
                <c:pt idx="16">
                  <c:v>26528843.038423002</c:v>
                </c:pt>
                <c:pt idx="17">
                  <c:v>28505620.414443001</c:v>
                </c:pt>
                <c:pt idx="18">
                  <c:v>30592954.324306998</c:v>
                </c:pt>
                <c:pt idx="19">
                  <c:v>32702398.728767</c:v>
                </c:pt>
                <c:pt idx="20">
                  <c:v>34794808.572076999</c:v>
                </c:pt>
                <c:pt idx="21">
                  <c:v>36762269.367913999</c:v>
                </c:pt>
                <c:pt idx="22">
                  <c:v>38280710.154400997</c:v>
                </c:pt>
                <c:pt idx="23">
                  <c:v>39526301.971753001</c:v>
                </c:pt>
                <c:pt idx="24">
                  <c:v>40511127.255840003</c:v>
                </c:pt>
                <c:pt idx="25">
                  <c:v>41266826.914416999</c:v>
                </c:pt>
                <c:pt idx="26">
                  <c:v>41544332.970039003</c:v>
                </c:pt>
                <c:pt idx="27">
                  <c:v>41930945.137052998</c:v>
                </c:pt>
                <c:pt idx="28">
                  <c:v>42197640.774135001</c:v>
                </c:pt>
                <c:pt idx="29">
                  <c:v>42372237.605930001</c:v>
                </c:pt>
                <c:pt idx="30">
                  <c:v>42502313.235523999</c:v>
                </c:pt>
                <c:pt idx="31">
                  <c:v>42519288.231648013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AB-4534-9F9B-C5331C10184F}"/>
            </c:ext>
          </c:extLst>
        </c:ser>
        <c:ser>
          <c:idx val="3"/>
          <c:order val="3"/>
          <c:tx>
            <c:strRef>
              <c:f>'Transportation Energy'!$B$24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Energy'!$C$24:$AH$24</c:f>
              <c:numCache>
                <c:formatCode>General</c:formatCode>
                <c:ptCount val="32"/>
                <c:pt idx="0">
                  <c:v>180038.520964</c:v>
                </c:pt>
                <c:pt idx="1">
                  <c:v>517074.45042200002</c:v>
                </c:pt>
                <c:pt idx="2">
                  <c:v>2366824.5190249998</c:v>
                </c:pt>
                <c:pt idx="3">
                  <c:v>4158013.5053170002</c:v>
                </c:pt>
                <c:pt idx="4">
                  <c:v>5890970.0435240008</c:v>
                </c:pt>
                <c:pt idx="5">
                  <c:v>7566118.3532380005</c:v>
                </c:pt>
                <c:pt idx="6">
                  <c:v>9191961.8686760012</c:v>
                </c:pt>
                <c:pt idx="7">
                  <c:v>10722684.212598</c:v>
                </c:pt>
                <c:pt idx="8">
                  <c:v>12192115.900721001</c:v>
                </c:pt>
                <c:pt idx="9">
                  <c:v>13625956.103406001</c:v>
                </c:pt>
                <c:pt idx="10">
                  <c:v>15034249.310339</c:v>
                </c:pt>
                <c:pt idx="11">
                  <c:v>16429135.051858</c:v>
                </c:pt>
                <c:pt idx="12">
                  <c:v>17804136.130139001</c:v>
                </c:pt>
                <c:pt idx="13">
                  <c:v>19176688.764079999</c:v>
                </c:pt>
                <c:pt idx="14">
                  <c:v>20548484.082851999</c:v>
                </c:pt>
                <c:pt idx="15">
                  <c:v>21919721.345959999</c:v>
                </c:pt>
                <c:pt idx="16">
                  <c:v>23290440.734297998</c:v>
                </c:pt>
                <c:pt idx="17">
                  <c:v>23418608.020812001</c:v>
                </c:pt>
                <c:pt idx="18">
                  <c:v>23561027.143222</c:v>
                </c:pt>
                <c:pt idx="19">
                  <c:v>23715810.863467999</c:v>
                </c:pt>
                <c:pt idx="20">
                  <c:v>23880984.452888999</c:v>
                </c:pt>
                <c:pt idx="21">
                  <c:v>24054676.783707999</c:v>
                </c:pt>
                <c:pt idx="22">
                  <c:v>24222056.964563001</c:v>
                </c:pt>
                <c:pt idx="23">
                  <c:v>24393879.991877999</c:v>
                </c:pt>
                <c:pt idx="24">
                  <c:v>24568652.788143001</c:v>
                </c:pt>
                <c:pt idx="25">
                  <c:v>24744796.968410999</c:v>
                </c:pt>
                <c:pt idx="26">
                  <c:v>24920923.762897</c:v>
                </c:pt>
                <c:pt idx="27">
                  <c:v>25105059.325150002</c:v>
                </c:pt>
                <c:pt idx="28">
                  <c:v>25287510.201448001</c:v>
                </c:pt>
                <c:pt idx="29">
                  <c:v>25467877.711812999</c:v>
                </c:pt>
                <c:pt idx="30">
                  <c:v>25645979.580926001</c:v>
                </c:pt>
                <c:pt idx="31">
                  <c:v>25821739.575994998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AB-4534-9F9B-C5331C10184F}"/>
            </c:ext>
          </c:extLst>
        </c:ser>
        <c:ser>
          <c:idx val="4"/>
          <c:order val="4"/>
          <c:tx>
            <c:strRef>
              <c:f>'Transportation Energy'!$B$21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Energy'!$C$21:$AH$21</c:f>
              <c:numCache>
                <c:formatCode>General</c:formatCode>
                <c:ptCount val="32"/>
                <c:pt idx="0">
                  <c:v>11510.165392000001</c:v>
                </c:pt>
                <c:pt idx="1">
                  <c:v>17453.096475999999</c:v>
                </c:pt>
                <c:pt idx="2">
                  <c:v>48436.805871999997</c:v>
                </c:pt>
                <c:pt idx="3">
                  <c:v>145798.862567</c:v>
                </c:pt>
                <c:pt idx="4">
                  <c:v>282152.81208599999</c:v>
                </c:pt>
                <c:pt idx="5">
                  <c:v>475741.52934499999</c:v>
                </c:pt>
                <c:pt idx="6">
                  <c:v>1559162.655209</c:v>
                </c:pt>
                <c:pt idx="7">
                  <c:v>2049173.299969</c:v>
                </c:pt>
                <c:pt idx="8">
                  <c:v>2745489.1480020001</c:v>
                </c:pt>
                <c:pt idx="9">
                  <c:v>3655961.2467820002</c:v>
                </c:pt>
                <c:pt idx="10">
                  <c:v>4712986.2588249994</c:v>
                </c:pt>
                <c:pt idx="11">
                  <c:v>6232150.4165679999</c:v>
                </c:pt>
                <c:pt idx="12">
                  <c:v>7439238.1219389997</c:v>
                </c:pt>
                <c:pt idx="13">
                  <c:v>8588085.5696479995</c:v>
                </c:pt>
                <c:pt idx="14">
                  <c:v>9702896.8260709997</c:v>
                </c:pt>
                <c:pt idx="15">
                  <c:v>10906995.173828</c:v>
                </c:pt>
                <c:pt idx="16">
                  <c:v>12050872.043663001</c:v>
                </c:pt>
                <c:pt idx="17">
                  <c:v>12635096.249965999</c:v>
                </c:pt>
                <c:pt idx="18">
                  <c:v>13185320.027434001</c:v>
                </c:pt>
                <c:pt idx="19">
                  <c:v>13617053.38149</c:v>
                </c:pt>
                <c:pt idx="20">
                  <c:v>13867765.686760001</c:v>
                </c:pt>
                <c:pt idx="21">
                  <c:v>13951728.873095</c:v>
                </c:pt>
                <c:pt idx="22">
                  <c:v>14825971.51214</c:v>
                </c:pt>
                <c:pt idx="23">
                  <c:v>15672271.150465</c:v>
                </c:pt>
                <c:pt idx="24">
                  <c:v>16420829.929448999</c:v>
                </c:pt>
                <c:pt idx="25">
                  <c:v>17057751.339692999</c:v>
                </c:pt>
                <c:pt idx="26">
                  <c:v>17880822.930950001</c:v>
                </c:pt>
                <c:pt idx="27">
                  <c:v>18341776.606626</c:v>
                </c:pt>
                <c:pt idx="28">
                  <c:v>18724185.284216002</c:v>
                </c:pt>
                <c:pt idx="29">
                  <c:v>19043996.672086</c:v>
                </c:pt>
                <c:pt idx="30">
                  <c:v>19293035.053178001</c:v>
                </c:pt>
                <c:pt idx="31">
                  <c:v>19559503.764004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AB-4534-9F9B-C5331C10184F}"/>
            </c:ext>
          </c:extLst>
        </c:ser>
        <c:ser>
          <c:idx val="5"/>
          <c:order val="5"/>
          <c:tx>
            <c:strRef>
              <c:f>'Transportation Energy'!$B$22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Energy'!$C$22:$AH$22</c:f>
              <c:numCache>
                <c:formatCode>General</c:formatCode>
                <c:ptCount val="32"/>
                <c:pt idx="0">
                  <c:v>0</c:v>
                </c:pt>
                <c:pt idx="1">
                  <c:v>704949.66166099999</c:v>
                </c:pt>
                <c:pt idx="2">
                  <c:v>4487840.2947009997</c:v>
                </c:pt>
                <c:pt idx="3">
                  <c:v>8149298.9000709997</c:v>
                </c:pt>
                <c:pt idx="4">
                  <c:v>11688902.854783</c:v>
                </c:pt>
                <c:pt idx="5">
                  <c:v>15107659.661766</c:v>
                </c:pt>
                <c:pt idx="6">
                  <c:v>18421886.898965001</c:v>
                </c:pt>
                <c:pt idx="7">
                  <c:v>21539451.883092999</c:v>
                </c:pt>
                <c:pt idx="8">
                  <c:v>24527056.776925001</c:v>
                </c:pt>
                <c:pt idx="9">
                  <c:v>27436934.963355999</c:v>
                </c:pt>
                <c:pt idx="10">
                  <c:v>30290849.643009</c:v>
                </c:pt>
                <c:pt idx="11">
                  <c:v>33117192.386767998</c:v>
                </c:pt>
                <c:pt idx="12">
                  <c:v>35905434.155699</c:v>
                </c:pt>
                <c:pt idx="13">
                  <c:v>38691787.104869999</c:v>
                </c:pt>
                <c:pt idx="14">
                  <c:v>41479018.953587003</c:v>
                </c:pt>
                <c:pt idx="15">
                  <c:v>44266454.732306004</c:v>
                </c:pt>
                <c:pt idx="16">
                  <c:v>47053235.762592003</c:v>
                </c:pt>
                <c:pt idx="17">
                  <c:v>47393720.132223003</c:v>
                </c:pt>
                <c:pt idx="18">
                  <c:v>47762191.729061</c:v>
                </c:pt>
                <c:pt idx="19">
                  <c:v>48154807.161174998</c:v>
                </c:pt>
                <c:pt idx="20">
                  <c:v>48567709.211917996</c:v>
                </c:pt>
                <c:pt idx="21">
                  <c:v>48997326.917630002</c:v>
                </c:pt>
                <c:pt idx="22">
                  <c:v>49413465.869143002</c:v>
                </c:pt>
                <c:pt idx="23">
                  <c:v>49838377.676995002</c:v>
                </c:pt>
                <c:pt idx="24">
                  <c:v>50269145.094024003</c:v>
                </c:pt>
                <c:pt idx="25">
                  <c:v>50702549.325011</c:v>
                </c:pt>
                <c:pt idx="26">
                  <c:v>51135700.290064</c:v>
                </c:pt>
                <c:pt idx="27">
                  <c:v>51585148.705900997</c:v>
                </c:pt>
                <c:pt idx="28">
                  <c:v>52030806.239082001</c:v>
                </c:pt>
                <c:pt idx="29">
                  <c:v>52471807.299808003</c:v>
                </c:pt>
                <c:pt idx="30">
                  <c:v>52907736.243844002</c:v>
                </c:pt>
                <c:pt idx="31">
                  <c:v>53338421.199700996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AB-4534-9F9B-C5331C101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30001"/>
        <c:axId val="50730002"/>
      </c:areaChart>
      <c:catAx>
        <c:axId val="507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30002"/>
        <c:crosses val="autoZero"/>
        <c:auto val="1"/>
        <c:lblAlgn val="ctr"/>
        <c:lblOffset val="100"/>
        <c:tickLblSkip val="2"/>
        <c:noMultiLvlLbl val="0"/>
      </c:catAx>
      <c:valAx>
        <c:axId val="507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3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Energy'!$B$20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Energy'!$C$20,'Transportation Energy'!$AH$20)</c:f>
              <c:numCache>
                <c:formatCode>General</c:formatCode>
                <c:ptCount val="2"/>
                <c:pt idx="0">
                  <c:v>344926069.060785</c:v>
                </c:pt>
                <c:pt idx="1">
                  <c:v>571681.38215900003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A-4147-8E26-19BBAE656834}"/>
            </c:ext>
          </c:extLst>
        </c:ser>
        <c:ser>
          <c:idx val="1"/>
          <c:order val="1"/>
          <c:tx>
            <c:strRef>
              <c:f>'Transportation Energy'!$B$19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Energy'!$C$19,'Transportation Energy'!$AH$19)</c:f>
              <c:numCache>
                <c:formatCode>General</c:formatCode>
                <c:ptCount val="2"/>
                <c:pt idx="0">
                  <c:v>139372488.64840001</c:v>
                </c:pt>
                <c:pt idx="1">
                  <c:v>2526709.4908179999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A-4147-8E26-19BBAE656834}"/>
            </c:ext>
          </c:extLst>
        </c:ser>
        <c:ser>
          <c:idx val="2"/>
          <c:order val="2"/>
          <c:tx>
            <c:strRef>
              <c:f>'Transportation Energy'!$B$23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Energy'!$C$23,'Transportation Energy'!$AH$23)</c:f>
              <c:numCache>
                <c:formatCode>General</c:formatCode>
                <c:ptCount val="2"/>
                <c:pt idx="0">
                  <c:v>521179.24215300003</c:v>
                </c:pt>
                <c:pt idx="1">
                  <c:v>42519288.231648013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DA-4147-8E26-19BBAE656834}"/>
            </c:ext>
          </c:extLst>
        </c:ser>
        <c:ser>
          <c:idx val="3"/>
          <c:order val="3"/>
          <c:tx>
            <c:strRef>
              <c:f>'Transportation Energy'!$B$24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Energy'!$C$24,'Transportation Energy'!$AH$24)</c:f>
              <c:numCache>
                <c:formatCode>General</c:formatCode>
                <c:ptCount val="2"/>
                <c:pt idx="0">
                  <c:v>180038.520964</c:v>
                </c:pt>
                <c:pt idx="1">
                  <c:v>25821739.575994998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DA-4147-8E26-19BBAE656834}"/>
            </c:ext>
          </c:extLst>
        </c:ser>
        <c:ser>
          <c:idx val="4"/>
          <c:order val="4"/>
          <c:tx>
            <c:strRef>
              <c:f>'Transportation Energy'!$B$21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Energy'!$C$21,'Transportation Energy'!$AH$21)</c:f>
              <c:numCache>
                <c:formatCode>General</c:formatCode>
                <c:ptCount val="2"/>
                <c:pt idx="0">
                  <c:v>11510.165392000001</c:v>
                </c:pt>
                <c:pt idx="1">
                  <c:v>19559503.764004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DA-4147-8E26-19BBAE656834}"/>
            </c:ext>
          </c:extLst>
        </c:ser>
        <c:ser>
          <c:idx val="5"/>
          <c:order val="5"/>
          <c:tx>
            <c:strRef>
              <c:f>'Transportation Energy'!$B$22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Energy'!$C$22,'Transportation Energy'!$AH$22)</c:f>
              <c:numCache>
                <c:formatCode>General</c:formatCode>
                <c:ptCount val="2"/>
                <c:pt idx="0">
                  <c:v>0</c:v>
                </c:pt>
                <c:pt idx="1">
                  <c:v>53338421.199700996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DA-4147-8E26-19BBAE656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40001"/>
        <c:axId val="50740002"/>
      </c:barChart>
      <c:catAx>
        <c:axId val="507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40002"/>
        <c:crosses val="autoZero"/>
        <c:auto val="1"/>
        <c:lblAlgn val="ctr"/>
        <c:lblOffset val="100"/>
        <c:noMultiLvlLbl val="0"/>
      </c:catAx>
      <c:valAx>
        <c:axId val="507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4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Energy'!$B$27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Energy'!$C$27:$AH$27</c:f>
              <c:numCache>
                <c:formatCode>General</c:formatCode>
                <c:ptCount val="32"/>
                <c:pt idx="0">
                  <c:v>344926069.060785</c:v>
                </c:pt>
                <c:pt idx="1">
                  <c:v>344177301.59786898</c:v>
                </c:pt>
                <c:pt idx="2">
                  <c:v>329323043.29132402</c:v>
                </c:pt>
                <c:pt idx="3">
                  <c:v>312288495.639884</c:v>
                </c:pt>
                <c:pt idx="4">
                  <c:v>296353569.241988</c:v>
                </c:pt>
                <c:pt idx="5">
                  <c:v>276729577.24340397</c:v>
                </c:pt>
                <c:pt idx="6">
                  <c:v>246714807.13697201</c:v>
                </c:pt>
                <c:pt idx="7">
                  <c:v>225111804.531115</c:v>
                </c:pt>
                <c:pt idx="8">
                  <c:v>202024370.16709301</c:v>
                </c:pt>
                <c:pt idx="9">
                  <c:v>178511683.472978</c:v>
                </c:pt>
                <c:pt idx="10">
                  <c:v>156075308.38494501</c:v>
                </c:pt>
                <c:pt idx="11">
                  <c:v>136612471.154771</c:v>
                </c:pt>
                <c:pt idx="12">
                  <c:v>120095479.678232</c:v>
                </c:pt>
                <c:pt idx="13">
                  <c:v>105835415.455843</c:v>
                </c:pt>
                <c:pt idx="14">
                  <c:v>92930430.476091012</c:v>
                </c:pt>
                <c:pt idx="15">
                  <c:v>78802111.378447995</c:v>
                </c:pt>
                <c:pt idx="16">
                  <c:v>66993615.737668999</c:v>
                </c:pt>
                <c:pt idx="17">
                  <c:v>58494174.434138</c:v>
                </c:pt>
                <c:pt idx="18">
                  <c:v>50048764.249352999</c:v>
                </c:pt>
                <c:pt idx="19">
                  <c:v>42094830.079347</c:v>
                </c:pt>
                <c:pt idx="20">
                  <c:v>35416686.180210002</c:v>
                </c:pt>
                <c:pt idx="21">
                  <c:v>29467152.461201001</c:v>
                </c:pt>
                <c:pt idx="22">
                  <c:v>24157507.789143</c:v>
                </c:pt>
                <c:pt idx="23">
                  <c:v>19328196.480292998</c:v>
                </c:pt>
                <c:pt idx="24">
                  <c:v>15116046.224835999</c:v>
                </c:pt>
                <c:pt idx="25">
                  <c:v>11550025.233315</c:v>
                </c:pt>
                <c:pt idx="26">
                  <c:v>8584650.0786160007</c:v>
                </c:pt>
                <c:pt idx="27">
                  <c:v>6165961.160805</c:v>
                </c:pt>
                <c:pt idx="28">
                  <c:v>4237493.0143820001</c:v>
                </c:pt>
                <c:pt idx="29">
                  <c:v>2724187.3789220001</c:v>
                </c:pt>
                <c:pt idx="30">
                  <c:v>1535964.4416720001</c:v>
                </c:pt>
                <c:pt idx="31">
                  <c:v>571681.38215900003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3-46BA-99F3-589835E4F8BE}"/>
            </c:ext>
          </c:extLst>
        </c:ser>
        <c:ser>
          <c:idx val="1"/>
          <c:order val="1"/>
          <c:tx>
            <c:strRef>
              <c:f>'Transportation Energy'!$B$26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Energy'!$C$26:$AH$26</c:f>
              <c:numCache>
                <c:formatCode>General</c:formatCode>
                <c:ptCount val="32"/>
                <c:pt idx="0">
                  <c:v>139372488.64840001</c:v>
                </c:pt>
                <c:pt idx="1">
                  <c:v>130275194.69847301</c:v>
                </c:pt>
                <c:pt idx="2">
                  <c:v>121634593.913798</c:v>
                </c:pt>
                <c:pt idx="3">
                  <c:v>112766399.472582</c:v>
                </c:pt>
                <c:pt idx="4">
                  <c:v>104466168.96682</c:v>
                </c:pt>
                <c:pt idx="5">
                  <c:v>96194376.993059993</c:v>
                </c:pt>
                <c:pt idx="6">
                  <c:v>88740979.692531005</c:v>
                </c:pt>
                <c:pt idx="7">
                  <c:v>80612268.43073</c:v>
                </c:pt>
                <c:pt idx="8">
                  <c:v>72969753.84750399</c:v>
                </c:pt>
                <c:pt idx="9">
                  <c:v>65554039.903021991</c:v>
                </c:pt>
                <c:pt idx="10">
                  <c:v>58372006.225368999</c:v>
                </c:pt>
                <c:pt idx="11">
                  <c:v>51590100.886451997</c:v>
                </c:pt>
                <c:pt idx="12">
                  <c:v>45133111.003702</c:v>
                </c:pt>
                <c:pt idx="13">
                  <c:v>39042345.654806003</c:v>
                </c:pt>
                <c:pt idx="14">
                  <c:v>33143728.761037</c:v>
                </c:pt>
                <c:pt idx="15">
                  <c:v>27269421.306823</c:v>
                </c:pt>
                <c:pt idx="16">
                  <c:v>21820830.514001999</c:v>
                </c:pt>
                <c:pt idx="17">
                  <c:v>19873907.256296001</c:v>
                </c:pt>
                <c:pt idx="18">
                  <c:v>17953209.463270001</c:v>
                </c:pt>
                <c:pt idx="19">
                  <c:v>16107370.059589</c:v>
                </c:pt>
                <c:pt idx="20">
                  <c:v>14576252.816215999</c:v>
                </c:pt>
                <c:pt idx="21">
                  <c:v>13133945.39043</c:v>
                </c:pt>
                <c:pt idx="22">
                  <c:v>11770935.794918001</c:v>
                </c:pt>
                <c:pt idx="23">
                  <c:v>10469353.249453999</c:v>
                </c:pt>
                <c:pt idx="24">
                  <c:v>9244346.1025329996</c:v>
                </c:pt>
                <c:pt idx="25">
                  <c:v>8098916.5002490003</c:v>
                </c:pt>
                <c:pt idx="26">
                  <c:v>7027512.9605249995</c:v>
                </c:pt>
                <c:pt idx="27">
                  <c:v>6024690.1716210004</c:v>
                </c:pt>
                <c:pt idx="28">
                  <c:v>5082437.9448690005</c:v>
                </c:pt>
                <c:pt idx="29">
                  <c:v>4192345.7630969998</c:v>
                </c:pt>
                <c:pt idx="30">
                  <c:v>3344277.3094739998</c:v>
                </c:pt>
                <c:pt idx="31">
                  <c:v>2526709.4908179999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3-46BA-99F3-589835E4F8BE}"/>
            </c:ext>
          </c:extLst>
        </c:ser>
        <c:ser>
          <c:idx val="2"/>
          <c:order val="2"/>
          <c:tx>
            <c:strRef>
              <c:f>'Transportation Energy'!$B$30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Energy'!$C$30:$AH$30</c:f>
              <c:numCache>
                <c:formatCode>General</c:formatCode>
                <c:ptCount val="32"/>
                <c:pt idx="0">
                  <c:v>521179.24215300003</c:v>
                </c:pt>
                <c:pt idx="1">
                  <c:v>935763.26222699997</c:v>
                </c:pt>
                <c:pt idx="2">
                  <c:v>1953932.64124</c:v>
                </c:pt>
                <c:pt idx="3">
                  <c:v>2897148.4754889999</c:v>
                </c:pt>
                <c:pt idx="4">
                  <c:v>3994262.062099</c:v>
                </c:pt>
                <c:pt idx="5">
                  <c:v>5213801.2428350002</c:v>
                </c:pt>
                <c:pt idx="6">
                  <c:v>6034053.7158239996</c:v>
                </c:pt>
                <c:pt idx="7">
                  <c:v>7605834.5396059994</c:v>
                </c:pt>
                <c:pt idx="8">
                  <c:v>9790306.1445359997</c:v>
                </c:pt>
                <c:pt idx="9">
                  <c:v>12553119.409569001</c:v>
                </c:pt>
                <c:pt idx="10">
                  <c:v>15639466.932737</c:v>
                </c:pt>
                <c:pt idx="11">
                  <c:v>18471861.161754001</c:v>
                </c:pt>
                <c:pt idx="12">
                  <c:v>21329628.870494999</c:v>
                </c:pt>
                <c:pt idx="13">
                  <c:v>24069199.462404002</c:v>
                </c:pt>
                <c:pt idx="14">
                  <c:v>26806961.750707</c:v>
                </c:pt>
                <c:pt idx="15">
                  <c:v>29925622.427182</c:v>
                </c:pt>
                <c:pt idx="16">
                  <c:v>32764343.444742002</c:v>
                </c:pt>
                <c:pt idx="17">
                  <c:v>35204435.596349999</c:v>
                </c:pt>
                <c:pt idx="18">
                  <c:v>37807112.636356004</c:v>
                </c:pt>
                <c:pt idx="19">
                  <c:v>40476597.776772</c:v>
                </c:pt>
                <c:pt idx="20">
                  <c:v>43190359.000835001</c:v>
                </c:pt>
                <c:pt idx="21">
                  <c:v>45760564.604489014</c:v>
                </c:pt>
                <c:pt idx="22">
                  <c:v>47593461.139839999</c:v>
                </c:pt>
                <c:pt idx="23">
                  <c:v>49072551.355005004</c:v>
                </c:pt>
                <c:pt idx="24">
                  <c:v>50232565.311099</c:v>
                </c:pt>
                <c:pt idx="25">
                  <c:v>51132460.01946</c:v>
                </c:pt>
                <c:pt idx="26">
                  <c:v>51399395.506535001</c:v>
                </c:pt>
                <c:pt idx="27">
                  <c:v>51827194.829397</c:v>
                </c:pt>
                <c:pt idx="28">
                  <c:v>52113833.641043998</c:v>
                </c:pt>
                <c:pt idx="29">
                  <c:v>52293158.112511002</c:v>
                </c:pt>
                <c:pt idx="30">
                  <c:v>52449917.602177002</c:v>
                </c:pt>
                <c:pt idx="31">
                  <c:v>52413784.68028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3-46BA-99F3-589835E4F8BE}"/>
            </c:ext>
          </c:extLst>
        </c:ser>
        <c:ser>
          <c:idx val="3"/>
          <c:order val="3"/>
          <c:tx>
            <c:strRef>
              <c:f>'Transportation Energy'!$B$31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Energy'!$C$31:$AH$31</c:f>
              <c:numCache>
                <c:formatCode>General</c:formatCode>
                <c:ptCount val="32"/>
                <c:pt idx="0">
                  <c:v>180038.520964</c:v>
                </c:pt>
                <c:pt idx="1">
                  <c:v>517074.45042200002</c:v>
                </c:pt>
                <c:pt idx="2">
                  <c:v>2366824.5190249998</c:v>
                </c:pt>
                <c:pt idx="3">
                  <c:v>4158013.5053170002</c:v>
                </c:pt>
                <c:pt idx="4">
                  <c:v>5890970.0435240008</c:v>
                </c:pt>
                <c:pt idx="5">
                  <c:v>7566118.3532380005</c:v>
                </c:pt>
                <c:pt idx="6">
                  <c:v>9191961.8686760012</c:v>
                </c:pt>
                <c:pt idx="7">
                  <c:v>10722684.212598</c:v>
                </c:pt>
                <c:pt idx="8">
                  <c:v>12192115.900721001</c:v>
                </c:pt>
                <c:pt idx="9">
                  <c:v>13625956.103406001</c:v>
                </c:pt>
                <c:pt idx="10">
                  <c:v>15034249.310339</c:v>
                </c:pt>
                <c:pt idx="11">
                  <c:v>16429135.051858</c:v>
                </c:pt>
                <c:pt idx="12">
                  <c:v>17804136.130139001</c:v>
                </c:pt>
                <c:pt idx="13">
                  <c:v>19176688.764079999</c:v>
                </c:pt>
                <c:pt idx="14">
                  <c:v>20548484.082851999</c:v>
                </c:pt>
                <c:pt idx="15">
                  <c:v>21919721.345959999</c:v>
                </c:pt>
                <c:pt idx="16">
                  <c:v>23290440.734297998</c:v>
                </c:pt>
                <c:pt idx="17">
                  <c:v>23418608.020812001</c:v>
                </c:pt>
                <c:pt idx="18">
                  <c:v>23561027.143222</c:v>
                </c:pt>
                <c:pt idx="19">
                  <c:v>23715810.863467999</c:v>
                </c:pt>
                <c:pt idx="20">
                  <c:v>23880984.452888999</c:v>
                </c:pt>
                <c:pt idx="21">
                  <c:v>24054676.783707999</c:v>
                </c:pt>
                <c:pt idx="22">
                  <c:v>24222056.964563001</c:v>
                </c:pt>
                <c:pt idx="23">
                  <c:v>24393879.991877999</c:v>
                </c:pt>
                <c:pt idx="24">
                  <c:v>24568652.788143001</c:v>
                </c:pt>
                <c:pt idx="25">
                  <c:v>24744796.968410999</c:v>
                </c:pt>
                <c:pt idx="26">
                  <c:v>24920923.762897</c:v>
                </c:pt>
                <c:pt idx="27">
                  <c:v>25105059.325150002</c:v>
                </c:pt>
                <c:pt idx="28">
                  <c:v>25287510.201448001</c:v>
                </c:pt>
                <c:pt idx="29">
                  <c:v>25467877.711812999</c:v>
                </c:pt>
                <c:pt idx="30">
                  <c:v>25645979.580926001</c:v>
                </c:pt>
                <c:pt idx="31">
                  <c:v>25821739.575994998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3-46BA-99F3-589835E4F8BE}"/>
            </c:ext>
          </c:extLst>
        </c:ser>
        <c:ser>
          <c:idx val="4"/>
          <c:order val="4"/>
          <c:tx>
            <c:strRef>
              <c:f>'Transportation Energy'!$B$28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Energy'!$C$28:$AH$28</c:f>
              <c:numCache>
                <c:formatCode>General</c:formatCode>
                <c:ptCount val="32"/>
                <c:pt idx="0">
                  <c:v>11510.165392000001</c:v>
                </c:pt>
                <c:pt idx="1">
                  <c:v>17453.096475999999</c:v>
                </c:pt>
                <c:pt idx="2">
                  <c:v>48436.805871999997</c:v>
                </c:pt>
                <c:pt idx="3">
                  <c:v>145798.862567</c:v>
                </c:pt>
                <c:pt idx="4">
                  <c:v>208812.183303</c:v>
                </c:pt>
                <c:pt idx="5">
                  <c:v>289595.63647899998</c:v>
                </c:pt>
                <c:pt idx="6">
                  <c:v>1236233.685916</c:v>
                </c:pt>
                <c:pt idx="7">
                  <c:v>1516798.899278</c:v>
                </c:pt>
                <c:pt idx="8">
                  <c:v>1904911.341978</c:v>
                </c:pt>
                <c:pt idx="9">
                  <c:v>2386950.6040739999</c:v>
                </c:pt>
                <c:pt idx="10">
                  <c:v>2937811.5248719999</c:v>
                </c:pt>
                <c:pt idx="11">
                  <c:v>3900159.9703600002</c:v>
                </c:pt>
                <c:pt idx="12">
                  <c:v>4486319.1490010004</c:v>
                </c:pt>
                <c:pt idx="13">
                  <c:v>4954462.2816129997</c:v>
                </c:pt>
                <c:pt idx="14">
                  <c:v>5309612.4342179997</c:v>
                </c:pt>
                <c:pt idx="15">
                  <c:v>5596924.0805930002</c:v>
                </c:pt>
                <c:pt idx="16">
                  <c:v>5815371.6373439999</c:v>
                </c:pt>
                <c:pt idx="17">
                  <c:v>5936281.0680590002</c:v>
                </c:pt>
                <c:pt idx="18">
                  <c:v>5971161.7153860005</c:v>
                </c:pt>
                <c:pt idx="19">
                  <c:v>5842853.6432720004</c:v>
                </c:pt>
                <c:pt idx="20">
                  <c:v>5472214.17031</c:v>
                </c:pt>
                <c:pt idx="21">
                  <c:v>4953434.7700659996</c:v>
                </c:pt>
                <c:pt idx="22">
                  <c:v>5513220.9223770006</c:v>
                </c:pt>
                <c:pt idx="23">
                  <c:v>6126021.3559499998</c:v>
                </c:pt>
                <c:pt idx="24">
                  <c:v>6699389.7533089994</c:v>
                </c:pt>
                <c:pt idx="25">
                  <c:v>7192116.4964419995</c:v>
                </c:pt>
                <c:pt idx="26">
                  <c:v>8025760.3944530003</c:v>
                </c:pt>
                <c:pt idx="27">
                  <c:v>8445528.7105500009</c:v>
                </c:pt>
                <c:pt idx="28">
                  <c:v>8807989.6938899998</c:v>
                </c:pt>
                <c:pt idx="29">
                  <c:v>9123074.3351579998</c:v>
                </c:pt>
                <c:pt idx="30">
                  <c:v>9345430.6865250003</c:v>
                </c:pt>
                <c:pt idx="31">
                  <c:v>9665006.3903260008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03-46BA-99F3-589835E4F8BE}"/>
            </c:ext>
          </c:extLst>
        </c:ser>
        <c:ser>
          <c:idx val="5"/>
          <c:order val="5"/>
          <c:tx>
            <c:strRef>
              <c:f>'Transportation Energy'!$B$29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Energy'!$C$29:$AH$29</c:f>
              <c:numCache>
                <c:formatCode>General</c:formatCode>
                <c:ptCount val="32"/>
                <c:pt idx="0">
                  <c:v>0</c:v>
                </c:pt>
                <c:pt idx="1">
                  <c:v>704949.66166099999</c:v>
                </c:pt>
                <c:pt idx="2">
                  <c:v>4487840.2947009997</c:v>
                </c:pt>
                <c:pt idx="3">
                  <c:v>8149298.9000709997</c:v>
                </c:pt>
                <c:pt idx="4">
                  <c:v>11688902.854783</c:v>
                </c:pt>
                <c:pt idx="5">
                  <c:v>15107659.661766</c:v>
                </c:pt>
                <c:pt idx="6">
                  <c:v>18421886.898965001</c:v>
                </c:pt>
                <c:pt idx="7">
                  <c:v>21539451.883092999</c:v>
                </c:pt>
                <c:pt idx="8">
                  <c:v>24527056.776925001</c:v>
                </c:pt>
                <c:pt idx="9">
                  <c:v>27436934.963355999</c:v>
                </c:pt>
                <c:pt idx="10">
                  <c:v>30290849.643009</c:v>
                </c:pt>
                <c:pt idx="11">
                  <c:v>33117192.386767998</c:v>
                </c:pt>
                <c:pt idx="12">
                  <c:v>35905434.155699</c:v>
                </c:pt>
                <c:pt idx="13">
                  <c:v>38691787.104869999</c:v>
                </c:pt>
                <c:pt idx="14">
                  <c:v>41479018.953587003</c:v>
                </c:pt>
                <c:pt idx="15">
                  <c:v>44266454.732306004</c:v>
                </c:pt>
                <c:pt idx="16">
                  <c:v>47053235.762592003</c:v>
                </c:pt>
                <c:pt idx="17">
                  <c:v>47393720.132223003</c:v>
                </c:pt>
                <c:pt idx="18">
                  <c:v>47762191.729061</c:v>
                </c:pt>
                <c:pt idx="19">
                  <c:v>48154807.161174998</c:v>
                </c:pt>
                <c:pt idx="20">
                  <c:v>48567709.211917996</c:v>
                </c:pt>
                <c:pt idx="21">
                  <c:v>48997326.917630002</c:v>
                </c:pt>
                <c:pt idx="22">
                  <c:v>49413465.869143002</c:v>
                </c:pt>
                <c:pt idx="23">
                  <c:v>49838377.676995002</c:v>
                </c:pt>
                <c:pt idx="24">
                  <c:v>50269145.094024003</c:v>
                </c:pt>
                <c:pt idx="25">
                  <c:v>50702549.325011</c:v>
                </c:pt>
                <c:pt idx="26">
                  <c:v>51135700.290064</c:v>
                </c:pt>
                <c:pt idx="27">
                  <c:v>51585148.705900997</c:v>
                </c:pt>
                <c:pt idx="28">
                  <c:v>52030806.239082001</c:v>
                </c:pt>
                <c:pt idx="29">
                  <c:v>52471807.299808003</c:v>
                </c:pt>
                <c:pt idx="30">
                  <c:v>52907736.243844002</c:v>
                </c:pt>
                <c:pt idx="31">
                  <c:v>53338421.199700996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03-46BA-99F3-589835E4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50001"/>
        <c:axId val="50750002"/>
      </c:areaChart>
      <c:catAx>
        <c:axId val="507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50002"/>
        <c:crosses val="autoZero"/>
        <c:auto val="1"/>
        <c:lblAlgn val="ctr"/>
        <c:lblOffset val="100"/>
        <c:tickLblSkip val="2"/>
        <c:noMultiLvlLbl val="0"/>
      </c:catAx>
      <c:valAx>
        <c:axId val="507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5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Energy'!$B$27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Energy'!$C$27,'Transportation Energy'!$AH$27)</c:f>
              <c:numCache>
                <c:formatCode>General</c:formatCode>
                <c:ptCount val="2"/>
                <c:pt idx="0">
                  <c:v>344926069.060785</c:v>
                </c:pt>
                <c:pt idx="1">
                  <c:v>571681.38215900003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5-4245-980A-1EB6FF07C49F}"/>
            </c:ext>
          </c:extLst>
        </c:ser>
        <c:ser>
          <c:idx val="1"/>
          <c:order val="1"/>
          <c:tx>
            <c:strRef>
              <c:f>'Transportation Energy'!$B$26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Energy'!$C$26,'Transportation Energy'!$AH$26)</c:f>
              <c:numCache>
                <c:formatCode>General</c:formatCode>
                <c:ptCount val="2"/>
                <c:pt idx="0">
                  <c:v>139372488.64840001</c:v>
                </c:pt>
                <c:pt idx="1">
                  <c:v>2526709.4908179999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5-4245-980A-1EB6FF07C49F}"/>
            </c:ext>
          </c:extLst>
        </c:ser>
        <c:ser>
          <c:idx val="2"/>
          <c:order val="2"/>
          <c:tx>
            <c:strRef>
              <c:f>'Transportation Energy'!$B$30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Energy'!$C$30,'Transportation Energy'!$AH$30)</c:f>
              <c:numCache>
                <c:formatCode>General</c:formatCode>
                <c:ptCount val="2"/>
                <c:pt idx="0">
                  <c:v>521179.24215300003</c:v>
                </c:pt>
                <c:pt idx="1">
                  <c:v>52413784.68028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65-4245-980A-1EB6FF07C49F}"/>
            </c:ext>
          </c:extLst>
        </c:ser>
        <c:ser>
          <c:idx val="3"/>
          <c:order val="3"/>
          <c:tx>
            <c:strRef>
              <c:f>'Transportation Energy'!$B$31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Energy'!$C$31,'Transportation Energy'!$AH$31)</c:f>
              <c:numCache>
                <c:formatCode>General</c:formatCode>
                <c:ptCount val="2"/>
                <c:pt idx="0">
                  <c:v>180038.520964</c:v>
                </c:pt>
                <c:pt idx="1">
                  <c:v>25821739.575994998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65-4245-980A-1EB6FF07C49F}"/>
            </c:ext>
          </c:extLst>
        </c:ser>
        <c:ser>
          <c:idx val="4"/>
          <c:order val="4"/>
          <c:tx>
            <c:strRef>
              <c:f>'Transportation Energy'!$B$28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Energy'!$C$28,'Transportation Energy'!$AH$28)</c:f>
              <c:numCache>
                <c:formatCode>General</c:formatCode>
                <c:ptCount val="2"/>
                <c:pt idx="0">
                  <c:v>11510.165392000001</c:v>
                </c:pt>
                <c:pt idx="1">
                  <c:v>9665006.3903260008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65-4245-980A-1EB6FF07C49F}"/>
            </c:ext>
          </c:extLst>
        </c:ser>
        <c:ser>
          <c:idx val="5"/>
          <c:order val="5"/>
          <c:tx>
            <c:strRef>
              <c:f>'Transportation Energy'!$B$29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Energy'!$C$29,'Transportation Energy'!$AH$29)</c:f>
              <c:numCache>
                <c:formatCode>General</c:formatCode>
                <c:ptCount val="2"/>
                <c:pt idx="0">
                  <c:v>0</c:v>
                </c:pt>
                <c:pt idx="1">
                  <c:v>53338421.199700996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65-4245-980A-1EB6FF07C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60001"/>
        <c:axId val="50760002"/>
      </c:barChart>
      <c:catAx>
        <c:axId val="507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60002"/>
        <c:crosses val="autoZero"/>
        <c:auto val="1"/>
        <c:lblAlgn val="ctr"/>
        <c:lblOffset val="100"/>
        <c:noMultiLvlLbl val="0"/>
      </c:catAx>
      <c:valAx>
        <c:axId val="507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6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Energy'!$B$34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Energy'!$C$34:$AH$34</c:f>
              <c:numCache>
                <c:formatCode>General</c:formatCode>
                <c:ptCount val="32"/>
                <c:pt idx="0">
                  <c:v>344926069.060785</c:v>
                </c:pt>
                <c:pt idx="1">
                  <c:v>344177301.59786898</c:v>
                </c:pt>
                <c:pt idx="2">
                  <c:v>338589323.09592199</c:v>
                </c:pt>
                <c:pt idx="3">
                  <c:v>330297662.910833</c:v>
                </c:pt>
                <c:pt idx="4">
                  <c:v>322639365.01539499</c:v>
                </c:pt>
                <c:pt idx="5">
                  <c:v>310511455.958929</c:v>
                </c:pt>
                <c:pt idx="6">
                  <c:v>286185399.14109403</c:v>
                </c:pt>
                <c:pt idx="7">
                  <c:v>270122244.51697803</c:v>
                </c:pt>
                <c:pt idx="8">
                  <c:v>251464557.40067899</c:v>
                </c:pt>
                <c:pt idx="9">
                  <c:v>231359300.65281001</c:v>
                </c:pt>
                <c:pt idx="10">
                  <c:v>211558739.65007499</c:v>
                </c:pt>
                <c:pt idx="11">
                  <c:v>194451257.34048399</c:v>
                </c:pt>
                <c:pt idx="12">
                  <c:v>180186563.69408</c:v>
                </c:pt>
                <c:pt idx="13">
                  <c:v>168117395.28238299</c:v>
                </c:pt>
                <c:pt idx="14">
                  <c:v>157210918.06840399</c:v>
                </c:pt>
                <c:pt idx="15">
                  <c:v>144151795.59942999</c:v>
                </c:pt>
                <c:pt idx="16">
                  <c:v>133588769.8715</c:v>
                </c:pt>
                <c:pt idx="17">
                  <c:v>122255956.83899701</c:v>
                </c:pt>
                <c:pt idx="18">
                  <c:v>110704205.417549</c:v>
                </c:pt>
                <c:pt idx="19">
                  <c:v>99540441.801422998</c:v>
                </c:pt>
                <c:pt idx="20">
                  <c:v>90457901.143142</c:v>
                </c:pt>
                <c:pt idx="21">
                  <c:v>82176810.839558005</c:v>
                </c:pt>
                <c:pt idx="22">
                  <c:v>74209069.747419</c:v>
                </c:pt>
                <c:pt idx="23">
                  <c:v>66933190.525167987</c:v>
                </c:pt>
                <c:pt idx="24">
                  <c:v>60555386.371092997</c:v>
                </c:pt>
                <c:pt idx="25">
                  <c:v>55121182.508497998</c:v>
                </c:pt>
                <c:pt idx="26">
                  <c:v>50564187.222716987</c:v>
                </c:pt>
                <c:pt idx="27">
                  <c:v>46818013.030892</c:v>
                </c:pt>
                <c:pt idx="28">
                  <c:v>43785489.576568998</c:v>
                </c:pt>
                <c:pt idx="29">
                  <c:v>41355860.685924999</c:v>
                </c:pt>
                <c:pt idx="30">
                  <c:v>39395918.952422999</c:v>
                </c:pt>
                <c:pt idx="31">
                  <c:v>37755550.861334004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4-4B54-9CDA-FBC0957293EB}"/>
            </c:ext>
          </c:extLst>
        </c:ser>
        <c:ser>
          <c:idx val="1"/>
          <c:order val="1"/>
          <c:tx>
            <c:strRef>
              <c:f>'Transportation Energy'!$B$33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Energy'!$C$33:$AH$33</c:f>
              <c:numCache>
                <c:formatCode>General</c:formatCode>
                <c:ptCount val="32"/>
                <c:pt idx="0">
                  <c:v>139372488.64840001</c:v>
                </c:pt>
                <c:pt idx="1">
                  <c:v>130275194.69847301</c:v>
                </c:pt>
                <c:pt idx="2">
                  <c:v>126783382.209437</c:v>
                </c:pt>
                <c:pt idx="3">
                  <c:v>122795729.231076</c:v>
                </c:pt>
                <c:pt idx="4">
                  <c:v>119126955.856613</c:v>
                </c:pt>
                <c:pt idx="5">
                  <c:v>115214540.45905399</c:v>
                </c:pt>
                <c:pt idx="6">
                  <c:v>111928960.56877699</c:v>
                </c:pt>
                <c:pt idx="7">
                  <c:v>107549632.06882</c:v>
                </c:pt>
                <c:pt idx="8">
                  <c:v>103399163.588843</c:v>
                </c:pt>
                <c:pt idx="9">
                  <c:v>99229454.856577992</c:v>
                </c:pt>
                <c:pt idx="10">
                  <c:v>95068859.037410006</c:v>
                </c:pt>
                <c:pt idx="11">
                  <c:v>91150627.915045992</c:v>
                </c:pt>
                <c:pt idx="12">
                  <c:v>87389444.594500005</c:v>
                </c:pt>
                <c:pt idx="13">
                  <c:v>83883343.150301993</c:v>
                </c:pt>
                <c:pt idx="14">
                  <c:v>80424503.226297989</c:v>
                </c:pt>
                <c:pt idx="15">
                  <c:v>76790467.223444</c:v>
                </c:pt>
                <c:pt idx="16">
                  <c:v>73522485.041747004</c:v>
                </c:pt>
                <c:pt idx="17">
                  <c:v>70216361.364838004</c:v>
                </c:pt>
                <c:pt idx="18">
                  <c:v>66932501.772947997</c:v>
                </c:pt>
                <c:pt idx="19">
                  <c:v>63733778.846430004</c:v>
                </c:pt>
                <c:pt idx="20">
                  <c:v>61526603.010886997</c:v>
                </c:pt>
                <c:pt idx="21">
                  <c:v>59424346.533724003</c:v>
                </c:pt>
                <c:pt idx="22">
                  <c:v>57344680.706012003</c:v>
                </c:pt>
                <c:pt idx="23">
                  <c:v>55354168.962778993</c:v>
                </c:pt>
                <c:pt idx="24">
                  <c:v>53473739.350367002</c:v>
                </c:pt>
                <c:pt idx="25">
                  <c:v>51705679.517003</c:v>
                </c:pt>
                <c:pt idx="26">
                  <c:v>50039443.554567002</c:v>
                </c:pt>
                <c:pt idx="27">
                  <c:v>48479854.686792001</c:v>
                </c:pt>
                <c:pt idx="28">
                  <c:v>46998708.543752</c:v>
                </c:pt>
                <c:pt idx="29">
                  <c:v>45582580.6417</c:v>
                </c:pt>
                <c:pt idx="30">
                  <c:v>44215774.853386998</c:v>
                </c:pt>
                <c:pt idx="31">
                  <c:v>42880597.952766001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4-4B54-9CDA-FBC0957293EB}"/>
            </c:ext>
          </c:extLst>
        </c:ser>
        <c:ser>
          <c:idx val="2"/>
          <c:order val="2"/>
          <c:tx>
            <c:strRef>
              <c:f>'Transportation Energy'!$B$37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Energy'!$C$37:$AH$37</c:f>
              <c:numCache>
                <c:formatCode>General</c:formatCode>
                <c:ptCount val="32"/>
                <c:pt idx="0">
                  <c:v>521179.24215300003</c:v>
                </c:pt>
                <c:pt idx="1">
                  <c:v>1228416.2522390001</c:v>
                </c:pt>
                <c:pt idx="2">
                  <c:v>2189412.7342269998</c:v>
                </c:pt>
                <c:pt idx="3">
                  <c:v>3141598.6340760002</c:v>
                </c:pt>
                <c:pt idx="4">
                  <c:v>4212930.0433320003</c:v>
                </c:pt>
                <c:pt idx="5">
                  <c:v>5455964.9010509998</c:v>
                </c:pt>
                <c:pt idx="6">
                  <c:v>6307946.256511</c:v>
                </c:pt>
                <c:pt idx="7">
                  <c:v>7966227.4480769997</c:v>
                </c:pt>
                <c:pt idx="8">
                  <c:v>10325841.298186</c:v>
                </c:pt>
                <c:pt idx="9">
                  <c:v>13354585.254858</c:v>
                </c:pt>
                <c:pt idx="10">
                  <c:v>16791125.490286998</c:v>
                </c:pt>
                <c:pt idx="11">
                  <c:v>19939328.408013999</c:v>
                </c:pt>
                <c:pt idx="12">
                  <c:v>23225159.357021999</c:v>
                </c:pt>
                <c:pt idx="13">
                  <c:v>26341044.752254002</c:v>
                </c:pt>
                <c:pt idx="14">
                  <c:v>29395703.959906999</c:v>
                </c:pt>
                <c:pt idx="15">
                  <c:v>32799030.693808999</c:v>
                </c:pt>
                <c:pt idx="16">
                  <c:v>35845357.227770001</c:v>
                </c:pt>
                <c:pt idx="17">
                  <c:v>39057816.820005998</c:v>
                </c:pt>
                <c:pt idx="18">
                  <c:v>42357575.969149999</c:v>
                </c:pt>
                <c:pt idx="19">
                  <c:v>45602459.660779998</c:v>
                </c:pt>
                <c:pt idx="20">
                  <c:v>48760395.037441999</c:v>
                </c:pt>
                <c:pt idx="21">
                  <c:v>51572113.698969997</c:v>
                </c:pt>
                <c:pt idx="22">
                  <c:v>54244932.256024003</c:v>
                </c:pt>
                <c:pt idx="23">
                  <c:v>56638904.187909998</c:v>
                </c:pt>
                <c:pt idx="24">
                  <c:v>58718688.492631003</c:v>
                </c:pt>
                <c:pt idx="25">
                  <c:v>60586181.170983002</c:v>
                </c:pt>
                <c:pt idx="26">
                  <c:v>61713897.723067999</c:v>
                </c:pt>
                <c:pt idx="27">
                  <c:v>63061654.968239002</c:v>
                </c:pt>
                <c:pt idx="28">
                  <c:v>64255359.934122004</c:v>
                </c:pt>
                <c:pt idx="29">
                  <c:v>65331250.635519996</c:v>
                </c:pt>
                <c:pt idx="30">
                  <c:v>66403925.749909997</c:v>
                </c:pt>
                <c:pt idx="31">
                  <c:v>67239645.427092999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4-4B54-9CDA-FBC0957293EB}"/>
            </c:ext>
          </c:extLst>
        </c:ser>
        <c:ser>
          <c:idx val="3"/>
          <c:order val="3"/>
          <c:tx>
            <c:strRef>
              <c:f>'Transportation Energy'!$B$38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Energy'!$C$38:$AH$38</c:f>
              <c:numCache>
                <c:formatCode>General</c:formatCode>
                <c:ptCount val="32"/>
                <c:pt idx="0">
                  <c:v>180038.520964</c:v>
                </c:pt>
                <c:pt idx="1">
                  <c:v>180038.520964</c:v>
                </c:pt>
                <c:pt idx="2">
                  <c:v>180038.520964</c:v>
                </c:pt>
                <c:pt idx="3">
                  <c:v>180038.520964</c:v>
                </c:pt>
                <c:pt idx="4">
                  <c:v>180038.520964</c:v>
                </c:pt>
                <c:pt idx="5">
                  <c:v>180038.520964</c:v>
                </c:pt>
                <c:pt idx="6">
                  <c:v>180038.520964</c:v>
                </c:pt>
                <c:pt idx="7">
                  <c:v>180038.520964</c:v>
                </c:pt>
                <c:pt idx="8">
                  <c:v>180038.520964</c:v>
                </c:pt>
                <c:pt idx="9">
                  <c:v>180038.520964</c:v>
                </c:pt>
                <c:pt idx="10">
                  <c:v>180038.520964</c:v>
                </c:pt>
                <c:pt idx="11">
                  <c:v>180038.520964</c:v>
                </c:pt>
                <c:pt idx="12">
                  <c:v>180038.520964</c:v>
                </c:pt>
                <c:pt idx="13">
                  <c:v>180038.520964</c:v>
                </c:pt>
                <c:pt idx="14">
                  <c:v>180038.520964</c:v>
                </c:pt>
                <c:pt idx="15">
                  <c:v>180038.520964</c:v>
                </c:pt>
                <c:pt idx="16">
                  <c:v>180038.520964</c:v>
                </c:pt>
                <c:pt idx="17">
                  <c:v>180038.520964</c:v>
                </c:pt>
                <c:pt idx="18">
                  <c:v>180038.520964</c:v>
                </c:pt>
                <c:pt idx="19">
                  <c:v>180038.520964</c:v>
                </c:pt>
                <c:pt idx="20">
                  <c:v>180038.520964</c:v>
                </c:pt>
                <c:pt idx="21">
                  <c:v>180038.520964</c:v>
                </c:pt>
                <c:pt idx="22">
                  <c:v>180038.520964</c:v>
                </c:pt>
                <c:pt idx="23">
                  <c:v>180038.520964</c:v>
                </c:pt>
                <c:pt idx="24">
                  <c:v>180038.520964</c:v>
                </c:pt>
                <c:pt idx="25">
                  <c:v>180038.520964</c:v>
                </c:pt>
                <c:pt idx="26">
                  <c:v>180038.520964</c:v>
                </c:pt>
                <c:pt idx="27">
                  <c:v>180038.520964</c:v>
                </c:pt>
                <c:pt idx="28">
                  <c:v>180038.520964</c:v>
                </c:pt>
                <c:pt idx="29">
                  <c:v>180038.520964</c:v>
                </c:pt>
                <c:pt idx="30">
                  <c:v>180038.520964</c:v>
                </c:pt>
                <c:pt idx="31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4-4B54-9CDA-FBC0957293EB}"/>
            </c:ext>
          </c:extLst>
        </c:ser>
        <c:ser>
          <c:idx val="4"/>
          <c:order val="4"/>
          <c:tx>
            <c:strRef>
              <c:f>'Transportation Energy'!$B$35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Energy'!$C$35:$AH$35</c:f>
              <c:numCache>
                <c:formatCode>General</c:formatCode>
                <c:ptCount val="32"/>
                <c:pt idx="0">
                  <c:v>11510.165392000001</c:v>
                </c:pt>
                <c:pt idx="1">
                  <c:v>24074.092391999999</c:v>
                </c:pt>
                <c:pt idx="2">
                  <c:v>57782.065947000003</c:v>
                </c:pt>
                <c:pt idx="3">
                  <c:v>108575.860995</c:v>
                </c:pt>
                <c:pt idx="4">
                  <c:v>182933.93611499999</c:v>
                </c:pt>
                <c:pt idx="5">
                  <c:v>258186.590444</c:v>
                </c:pt>
                <c:pt idx="6">
                  <c:v>1274197.108482</c:v>
                </c:pt>
                <c:pt idx="7">
                  <c:v>1629242.3087770001</c:v>
                </c:pt>
                <c:pt idx="8">
                  <c:v>2174089.5967410002</c:v>
                </c:pt>
                <c:pt idx="9">
                  <c:v>2937793.1132800002</c:v>
                </c:pt>
                <c:pt idx="10">
                  <c:v>3899781.9391629999</c:v>
                </c:pt>
                <c:pt idx="11">
                  <c:v>5502020.157377</c:v>
                </c:pt>
                <c:pt idx="12">
                  <c:v>6697233.3237920003</c:v>
                </c:pt>
                <c:pt idx="13">
                  <c:v>7915406.9521709997</c:v>
                </c:pt>
                <c:pt idx="14">
                  <c:v>9196113.6951499991</c:v>
                </c:pt>
                <c:pt idx="15">
                  <c:v>10685111.868569</c:v>
                </c:pt>
                <c:pt idx="16">
                  <c:v>12229602.916559</c:v>
                </c:pt>
                <c:pt idx="17">
                  <c:v>13891577.887158001</c:v>
                </c:pt>
                <c:pt idx="18">
                  <c:v>15699141.182251999</c:v>
                </c:pt>
                <c:pt idx="19">
                  <c:v>17556255.383411001</c:v>
                </c:pt>
                <c:pt idx="20">
                  <c:v>19344540.320229001</c:v>
                </c:pt>
                <c:pt idx="21">
                  <c:v>21170967.198665</c:v>
                </c:pt>
                <c:pt idx="22">
                  <c:v>22869695.242481999</c:v>
                </c:pt>
                <c:pt idx="23">
                  <c:v>24415855.922288999</c:v>
                </c:pt>
                <c:pt idx="24">
                  <c:v>25756047.336761001</c:v>
                </c:pt>
                <c:pt idx="25">
                  <c:v>26812411.156250998</c:v>
                </c:pt>
                <c:pt idx="26">
                  <c:v>28183995.841515999</c:v>
                </c:pt>
                <c:pt idx="27">
                  <c:v>28971790.845462002</c:v>
                </c:pt>
                <c:pt idx="28">
                  <c:v>29627952.078125998</c:v>
                </c:pt>
                <c:pt idx="29">
                  <c:v>30180454.291253</c:v>
                </c:pt>
                <c:pt idx="30">
                  <c:v>30573248.812380999</c:v>
                </c:pt>
                <c:pt idx="31">
                  <c:v>31069436.005495999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24-4B54-9CDA-FBC0957293EB}"/>
            </c:ext>
          </c:extLst>
        </c:ser>
        <c:ser>
          <c:idx val="5"/>
          <c:order val="5"/>
          <c:tx>
            <c:strRef>
              <c:f>'Transportation Energy'!$B$36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Energy'!$C$36:$AH$36</c:f>
              <c:numCache>
                <c:formatCode>General</c:formatCode>
                <c:ptCount val="32"/>
                <c:pt idx="0">
                  <c:v>0</c:v>
                </c:pt>
                <c:pt idx="1">
                  <c:v>366293.145945</c:v>
                </c:pt>
                <c:pt idx="2">
                  <c:v>931732.66584300005</c:v>
                </c:pt>
                <c:pt idx="3">
                  <c:v>1484582.069168</c:v>
                </c:pt>
                <c:pt idx="4">
                  <c:v>2024624.1533379999</c:v>
                </c:pt>
                <c:pt idx="5">
                  <c:v>2551850.5223420002</c:v>
                </c:pt>
                <c:pt idx="6">
                  <c:v>3068798.7904079999</c:v>
                </c:pt>
                <c:pt idx="7">
                  <c:v>3559945.606526</c:v>
                </c:pt>
                <c:pt idx="8">
                  <c:v>4036308.3516299999</c:v>
                </c:pt>
                <c:pt idx="9">
                  <c:v>4506203.7134579998</c:v>
                </c:pt>
                <c:pt idx="10">
                  <c:v>4972903.1963290004</c:v>
                </c:pt>
                <c:pt idx="11">
                  <c:v>5440771.8789370004</c:v>
                </c:pt>
                <c:pt idx="12">
                  <c:v>5907867.8536499999</c:v>
                </c:pt>
                <c:pt idx="13">
                  <c:v>6380038.5195420003</c:v>
                </c:pt>
                <c:pt idx="14">
                  <c:v>6857725.5976569997</c:v>
                </c:pt>
                <c:pt idx="15">
                  <c:v>7340850.7096920004</c:v>
                </c:pt>
                <c:pt idx="16">
                  <c:v>7829324.3930139998</c:v>
                </c:pt>
                <c:pt idx="17">
                  <c:v>8323050.5961039998</c:v>
                </c:pt>
                <c:pt idx="18">
                  <c:v>8822509.3004299998</c:v>
                </c:pt>
                <c:pt idx="19">
                  <c:v>9327920.8832920007</c:v>
                </c:pt>
                <c:pt idx="20">
                  <c:v>9839333.5495229997</c:v>
                </c:pt>
                <c:pt idx="21">
                  <c:v>10356701.558799</c:v>
                </c:pt>
                <c:pt idx="22">
                  <c:v>10873970.448098</c:v>
                </c:pt>
                <c:pt idx="23">
                  <c:v>11396030.871014999</c:v>
                </c:pt>
                <c:pt idx="24">
                  <c:v>11922566.064196</c:v>
                </c:pt>
                <c:pt idx="25">
                  <c:v>12453083.971170001</c:v>
                </c:pt>
                <c:pt idx="26">
                  <c:v>12987070.270617999</c:v>
                </c:pt>
                <c:pt idx="27">
                  <c:v>13529011.128306</c:v>
                </c:pt>
                <c:pt idx="28">
                  <c:v>14074030.621278999</c:v>
                </c:pt>
                <c:pt idx="29">
                  <c:v>14621943.633421</c:v>
                </c:pt>
                <c:pt idx="30">
                  <c:v>15172667.050399</c:v>
                </c:pt>
                <c:pt idx="31">
                  <c:v>15726176.711763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24-4B54-9CDA-FBC095729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70001"/>
        <c:axId val="50770002"/>
      </c:areaChart>
      <c:catAx>
        <c:axId val="507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70002"/>
        <c:crosses val="autoZero"/>
        <c:auto val="1"/>
        <c:lblAlgn val="ctr"/>
        <c:lblOffset val="100"/>
        <c:tickLblSkip val="2"/>
        <c:noMultiLvlLbl val="0"/>
      </c:catAx>
      <c:valAx>
        <c:axId val="507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7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Energy'!$B$34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Energy'!$C$34,'Transportation Energy'!$AH$34)</c:f>
              <c:numCache>
                <c:formatCode>General</c:formatCode>
                <c:ptCount val="2"/>
                <c:pt idx="0">
                  <c:v>344926069.060785</c:v>
                </c:pt>
                <c:pt idx="1">
                  <c:v>37755550.861334004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E-4839-9EEB-A0B241168763}"/>
            </c:ext>
          </c:extLst>
        </c:ser>
        <c:ser>
          <c:idx val="1"/>
          <c:order val="1"/>
          <c:tx>
            <c:strRef>
              <c:f>'Transportation Energy'!$B$33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Energy'!$C$33,'Transportation Energy'!$AH$33)</c:f>
              <c:numCache>
                <c:formatCode>General</c:formatCode>
                <c:ptCount val="2"/>
                <c:pt idx="0">
                  <c:v>139372488.64840001</c:v>
                </c:pt>
                <c:pt idx="1">
                  <c:v>42880597.952766001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E-4839-9EEB-A0B241168763}"/>
            </c:ext>
          </c:extLst>
        </c:ser>
        <c:ser>
          <c:idx val="2"/>
          <c:order val="2"/>
          <c:tx>
            <c:strRef>
              <c:f>'Transportation Energy'!$B$37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Energy'!$C$37,'Transportation Energy'!$AH$37)</c:f>
              <c:numCache>
                <c:formatCode>General</c:formatCode>
                <c:ptCount val="2"/>
                <c:pt idx="0">
                  <c:v>521179.24215300003</c:v>
                </c:pt>
                <c:pt idx="1">
                  <c:v>67239645.427092999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6E-4839-9EEB-A0B241168763}"/>
            </c:ext>
          </c:extLst>
        </c:ser>
        <c:ser>
          <c:idx val="3"/>
          <c:order val="3"/>
          <c:tx>
            <c:strRef>
              <c:f>'Transportation Energy'!$B$38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Energy'!$C$38,'Transportation Energy'!$AH$38)</c:f>
              <c:numCache>
                <c:formatCode>General</c:formatCode>
                <c:ptCount val="2"/>
                <c:pt idx="0">
                  <c:v>180038.520964</c:v>
                </c:pt>
                <c:pt idx="1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6E-4839-9EEB-A0B241168763}"/>
            </c:ext>
          </c:extLst>
        </c:ser>
        <c:ser>
          <c:idx val="4"/>
          <c:order val="4"/>
          <c:tx>
            <c:strRef>
              <c:f>'Transportation Energy'!$B$35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Energy'!$C$35,'Transportation Energy'!$AH$35)</c:f>
              <c:numCache>
                <c:formatCode>General</c:formatCode>
                <c:ptCount val="2"/>
                <c:pt idx="0">
                  <c:v>11510.165392000001</c:v>
                </c:pt>
                <c:pt idx="1">
                  <c:v>31069436.005495999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6E-4839-9EEB-A0B241168763}"/>
            </c:ext>
          </c:extLst>
        </c:ser>
        <c:ser>
          <c:idx val="5"/>
          <c:order val="5"/>
          <c:tx>
            <c:strRef>
              <c:f>'Transportation Energy'!$B$36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Energy'!$C$36,'Transportation Energy'!$AH$36)</c:f>
              <c:numCache>
                <c:formatCode>General</c:formatCode>
                <c:ptCount val="2"/>
                <c:pt idx="0">
                  <c:v>0</c:v>
                </c:pt>
                <c:pt idx="1">
                  <c:v>15726176.711763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6E-4839-9EEB-A0B24116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80001"/>
        <c:axId val="50780002"/>
      </c:barChart>
      <c:catAx>
        <c:axId val="507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80002"/>
        <c:crosses val="autoZero"/>
        <c:auto val="1"/>
        <c:lblAlgn val="ctr"/>
        <c:lblOffset val="100"/>
        <c:noMultiLvlLbl val="0"/>
      </c:catAx>
      <c:valAx>
        <c:axId val="507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8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Energy'!$B$41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Energy'!$C$41:$AH$41</c:f>
              <c:numCache>
                <c:formatCode>General</c:formatCode>
                <c:ptCount val="32"/>
                <c:pt idx="0">
                  <c:v>344926069.060785</c:v>
                </c:pt>
                <c:pt idx="1">
                  <c:v>345294331.48439902</c:v>
                </c:pt>
                <c:pt idx="2">
                  <c:v>345435423.098189</c:v>
                </c:pt>
                <c:pt idx="3">
                  <c:v>342830262.89534998</c:v>
                </c:pt>
                <c:pt idx="4">
                  <c:v>340987597.40715301</c:v>
                </c:pt>
                <c:pt idx="5">
                  <c:v>336019972.15644199</c:v>
                </c:pt>
                <c:pt idx="6">
                  <c:v>318641991.72244298</c:v>
                </c:pt>
                <c:pt idx="7">
                  <c:v>310223378.28170902</c:v>
                </c:pt>
                <c:pt idx="8">
                  <c:v>300516620.38596302</c:v>
                </c:pt>
                <c:pt idx="9">
                  <c:v>290756651.69900399</c:v>
                </c:pt>
                <c:pt idx="10">
                  <c:v>282183187.451379</c:v>
                </c:pt>
                <c:pt idx="11">
                  <c:v>276995804.71404701</c:v>
                </c:pt>
                <c:pt idx="12">
                  <c:v>274163847.67389703</c:v>
                </c:pt>
                <c:pt idx="13">
                  <c:v>273341933.20543402</c:v>
                </c:pt>
                <c:pt idx="14">
                  <c:v>273579768.72148198</c:v>
                </c:pt>
                <c:pt idx="15">
                  <c:v>272276432.004161</c:v>
                </c:pt>
                <c:pt idx="16">
                  <c:v>273016068.39287001</c:v>
                </c:pt>
                <c:pt idx="17">
                  <c:v>273188433.790757</c:v>
                </c:pt>
                <c:pt idx="18">
                  <c:v>273305157.67487901</c:v>
                </c:pt>
                <c:pt idx="19">
                  <c:v>273557985.41611397</c:v>
                </c:pt>
                <c:pt idx="20">
                  <c:v>274175423.26869398</c:v>
                </c:pt>
                <c:pt idx="21">
                  <c:v>275112903.05270302</c:v>
                </c:pt>
                <c:pt idx="22">
                  <c:v>275826462.34143901</c:v>
                </c:pt>
                <c:pt idx="23">
                  <c:v>276406494.70687902</c:v>
                </c:pt>
                <c:pt idx="24">
                  <c:v>276909300.22664702</c:v>
                </c:pt>
                <c:pt idx="25">
                  <c:v>277458827.68193501</c:v>
                </c:pt>
                <c:pt idx="26">
                  <c:v>278147479.83139402</c:v>
                </c:pt>
                <c:pt idx="27">
                  <c:v>279032468.25294799</c:v>
                </c:pt>
                <c:pt idx="28">
                  <c:v>280189638.95224601</c:v>
                </c:pt>
                <c:pt idx="29">
                  <c:v>281635685.68686998</c:v>
                </c:pt>
                <c:pt idx="30">
                  <c:v>283340693.35524899</c:v>
                </c:pt>
                <c:pt idx="31">
                  <c:v>285171233.14341599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3-456A-973F-717A879C785C}"/>
            </c:ext>
          </c:extLst>
        </c:ser>
        <c:ser>
          <c:idx val="1"/>
          <c:order val="1"/>
          <c:tx>
            <c:strRef>
              <c:f>'Transportation Energy'!$B$40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Energy'!$C$40:$AH$40</c:f>
              <c:numCache>
                <c:formatCode>General</c:formatCode>
                <c:ptCount val="32"/>
                <c:pt idx="0">
                  <c:v>139372488.64840001</c:v>
                </c:pt>
                <c:pt idx="1">
                  <c:v>131443539.46446501</c:v>
                </c:pt>
                <c:pt idx="2">
                  <c:v>131303324.95377301</c:v>
                </c:pt>
                <c:pt idx="3">
                  <c:v>130577858.148151</c:v>
                </c:pt>
                <c:pt idx="4">
                  <c:v>130107408.036571</c:v>
                </c:pt>
                <c:pt idx="5">
                  <c:v>129416234.501664</c:v>
                </c:pt>
                <c:pt idx="6">
                  <c:v>129407993.951584</c:v>
                </c:pt>
                <c:pt idx="7">
                  <c:v>128175566.013739</c:v>
                </c:pt>
                <c:pt idx="8">
                  <c:v>127302388.39725199</c:v>
                </c:pt>
                <c:pt idx="9">
                  <c:v>126556090.10579</c:v>
                </c:pt>
                <c:pt idx="10">
                  <c:v>125898707.419964</c:v>
                </c:pt>
                <c:pt idx="11">
                  <c:v>125543735.44286799</c:v>
                </c:pt>
                <c:pt idx="12">
                  <c:v>125231291.746097</c:v>
                </c:pt>
                <c:pt idx="13">
                  <c:v>125129547.473085</c:v>
                </c:pt>
                <c:pt idx="14">
                  <c:v>125015311.498763</c:v>
                </c:pt>
                <c:pt idx="15">
                  <c:v>124778994.88175599</c:v>
                </c:pt>
                <c:pt idx="16">
                  <c:v>124844714.770575</c:v>
                </c:pt>
                <c:pt idx="17">
                  <c:v>124880019.433175</c:v>
                </c:pt>
                <c:pt idx="18">
                  <c:v>124946135.518889</c:v>
                </c:pt>
                <c:pt idx="19">
                  <c:v>125056503.35288399</c:v>
                </c:pt>
                <c:pt idx="20">
                  <c:v>125241155.797318</c:v>
                </c:pt>
                <c:pt idx="21">
                  <c:v>125493789.92674799</c:v>
                </c:pt>
                <c:pt idx="22">
                  <c:v>125703618.571091</c:v>
                </c:pt>
                <c:pt idx="23">
                  <c:v>125925022.430343</c:v>
                </c:pt>
                <c:pt idx="24">
                  <c:v>126159448.450859</c:v>
                </c:pt>
                <c:pt idx="25">
                  <c:v>126413627.910097</c:v>
                </c:pt>
                <c:pt idx="26">
                  <c:v>126692022.95094299</c:v>
                </c:pt>
                <c:pt idx="27">
                  <c:v>127031825.806051</c:v>
                </c:pt>
                <c:pt idx="28">
                  <c:v>127405024.90247899</c:v>
                </c:pt>
                <c:pt idx="29">
                  <c:v>127811161.00064</c:v>
                </c:pt>
                <c:pt idx="30">
                  <c:v>128245897.87281699</c:v>
                </c:pt>
                <c:pt idx="31">
                  <c:v>128694541.272075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3-456A-973F-717A879C785C}"/>
            </c:ext>
          </c:extLst>
        </c:ser>
        <c:ser>
          <c:idx val="2"/>
          <c:order val="2"/>
          <c:tx>
            <c:strRef>
              <c:f>'Transportation Energy'!$B$43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Energy'!$C$43:$AH$43</c:f>
              <c:numCache>
                <c:formatCode>General</c:formatCode>
                <c:ptCount val="32"/>
                <c:pt idx="0">
                  <c:v>521179.24215300003</c:v>
                </c:pt>
                <c:pt idx="1">
                  <c:v>772442.23184500006</c:v>
                </c:pt>
                <c:pt idx="2">
                  <c:v>935578.64057599998</c:v>
                </c:pt>
                <c:pt idx="3">
                  <c:v>1048050.1309859999</c:v>
                </c:pt>
                <c:pt idx="4">
                  <c:v>1176803.977459</c:v>
                </c:pt>
                <c:pt idx="5">
                  <c:v>1274985.8928370001</c:v>
                </c:pt>
                <c:pt idx="6">
                  <c:v>1504004.5044269999</c:v>
                </c:pt>
                <c:pt idx="7">
                  <c:v>1584799.4963710001</c:v>
                </c:pt>
                <c:pt idx="8">
                  <c:v>1683024.4734990001</c:v>
                </c:pt>
                <c:pt idx="9">
                  <c:v>1770206.4804499999</c:v>
                </c:pt>
                <c:pt idx="10">
                  <c:v>1855829.134699</c:v>
                </c:pt>
                <c:pt idx="11">
                  <c:v>1940870.557546</c:v>
                </c:pt>
                <c:pt idx="12">
                  <c:v>1982527.6157490001</c:v>
                </c:pt>
                <c:pt idx="13">
                  <c:v>1984149.3284479999</c:v>
                </c:pt>
                <c:pt idx="14">
                  <c:v>2009618.9160809999</c:v>
                </c:pt>
                <c:pt idx="15">
                  <c:v>2003186.9136379999</c:v>
                </c:pt>
                <c:pt idx="16">
                  <c:v>2007828.399955</c:v>
                </c:pt>
                <c:pt idx="17">
                  <c:v>2001474.063786</c:v>
                </c:pt>
                <c:pt idx="18">
                  <c:v>1994190.253174</c:v>
                </c:pt>
                <c:pt idx="19">
                  <c:v>1989714.465605</c:v>
                </c:pt>
                <c:pt idx="20">
                  <c:v>1990628.2293440001</c:v>
                </c:pt>
                <c:pt idx="21">
                  <c:v>1995523.325065</c:v>
                </c:pt>
                <c:pt idx="22">
                  <c:v>1998476.0217639999</c:v>
                </c:pt>
                <c:pt idx="23">
                  <c:v>1999690.5238049999</c:v>
                </c:pt>
                <c:pt idx="24">
                  <c:v>1999719.784333</c:v>
                </c:pt>
                <c:pt idx="25">
                  <c:v>1999948.1725880001</c:v>
                </c:pt>
                <c:pt idx="26">
                  <c:v>2001417.8373390001</c:v>
                </c:pt>
                <c:pt idx="27">
                  <c:v>2004639.4479400001</c:v>
                </c:pt>
                <c:pt idx="28">
                  <c:v>2010637.3861070001</c:v>
                </c:pt>
                <c:pt idx="29">
                  <c:v>2019585.40114</c:v>
                </c:pt>
                <c:pt idx="30">
                  <c:v>2031117.2278189999</c:v>
                </c:pt>
                <c:pt idx="31">
                  <c:v>2043940.9348210001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3-456A-973F-717A879C785C}"/>
            </c:ext>
          </c:extLst>
        </c:ser>
        <c:ser>
          <c:idx val="3"/>
          <c:order val="3"/>
          <c:tx>
            <c:strRef>
              <c:f>'Transportation Energy'!$B$44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Energy'!$C$44:$AH$44</c:f>
              <c:numCache>
                <c:formatCode>General</c:formatCode>
                <c:ptCount val="32"/>
                <c:pt idx="0">
                  <c:v>180038.520964</c:v>
                </c:pt>
                <c:pt idx="1">
                  <c:v>180038.520964</c:v>
                </c:pt>
                <c:pt idx="2">
                  <c:v>180038.520964</c:v>
                </c:pt>
                <c:pt idx="3">
                  <c:v>180038.520964</c:v>
                </c:pt>
                <c:pt idx="4">
                  <c:v>180038.520964</c:v>
                </c:pt>
                <c:pt idx="5">
                  <c:v>180038.520964</c:v>
                </c:pt>
                <c:pt idx="6">
                  <c:v>180038.520964</c:v>
                </c:pt>
                <c:pt idx="7">
                  <c:v>180038.520964</c:v>
                </c:pt>
                <c:pt idx="8">
                  <c:v>180038.520964</c:v>
                </c:pt>
                <c:pt idx="9">
                  <c:v>180038.520964</c:v>
                </c:pt>
                <c:pt idx="10">
                  <c:v>180038.520964</c:v>
                </c:pt>
                <c:pt idx="11">
                  <c:v>180038.520964</c:v>
                </c:pt>
                <c:pt idx="12">
                  <c:v>180038.520964</c:v>
                </c:pt>
                <c:pt idx="13">
                  <c:v>180038.520964</c:v>
                </c:pt>
                <c:pt idx="14">
                  <c:v>180038.520964</c:v>
                </c:pt>
                <c:pt idx="15">
                  <c:v>180038.520964</c:v>
                </c:pt>
                <c:pt idx="16">
                  <c:v>180038.520964</c:v>
                </c:pt>
                <c:pt idx="17">
                  <c:v>180038.520964</c:v>
                </c:pt>
                <c:pt idx="18">
                  <c:v>180038.520964</c:v>
                </c:pt>
                <c:pt idx="19">
                  <c:v>180038.520964</c:v>
                </c:pt>
                <c:pt idx="20">
                  <c:v>180038.520964</c:v>
                </c:pt>
                <c:pt idx="21">
                  <c:v>180038.520964</c:v>
                </c:pt>
                <c:pt idx="22">
                  <c:v>180038.520964</c:v>
                </c:pt>
                <c:pt idx="23">
                  <c:v>180038.520964</c:v>
                </c:pt>
                <c:pt idx="24">
                  <c:v>180038.520964</c:v>
                </c:pt>
                <c:pt idx="25">
                  <c:v>180038.520964</c:v>
                </c:pt>
                <c:pt idx="26">
                  <c:v>180038.520964</c:v>
                </c:pt>
                <c:pt idx="27">
                  <c:v>180038.520964</c:v>
                </c:pt>
                <c:pt idx="28">
                  <c:v>180038.520964</c:v>
                </c:pt>
                <c:pt idx="29">
                  <c:v>180038.520964</c:v>
                </c:pt>
                <c:pt idx="30">
                  <c:v>180038.520964</c:v>
                </c:pt>
                <c:pt idx="31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F3-456A-973F-717A879C785C}"/>
            </c:ext>
          </c:extLst>
        </c:ser>
        <c:ser>
          <c:idx val="4"/>
          <c:order val="4"/>
          <c:tx>
            <c:strRef>
              <c:f>'Transportation Energy'!$B$42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Energy'!$C$11:$AH$11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Energy'!$C$42:$AH$42</c:f>
              <c:numCache>
                <c:formatCode>General</c:formatCode>
                <c:ptCount val="32"/>
                <c:pt idx="0">
                  <c:v>11510.165392000001</c:v>
                </c:pt>
                <c:pt idx="1">
                  <c:v>20095.528826999998</c:v>
                </c:pt>
                <c:pt idx="2">
                  <c:v>30740.008329</c:v>
                </c:pt>
                <c:pt idx="3">
                  <c:v>42918.122940000001</c:v>
                </c:pt>
                <c:pt idx="4">
                  <c:v>58000.638051000002</c:v>
                </c:pt>
                <c:pt idx="5">
                  <c:v>73493.774657999995</c:v>
                </c:pt>
                <c:pt idx="6">
                  <c:v>100017.635416</c:v>
                </c:pt>
                <c:pt idx="7">
                  <c:v>111929.207281</c:v>
                </c:pt>
                <c:pt idx="8">
                  <c:v>125938.06780400001</c:v>
                </c:pt>
                <c:pt idx="9">
                  <c:v>139716.916512</c:v>
                </c:pt>
                <c:pt idx="10">
                  <c:v>153834.39425700001</c:v>
                </c:pt>
                <c:pt idx="11">
                  <c:v>168404.348791</c:v>
                </c:pt>
                <c:pt idx="12">
                  <c:v>177798.176465</c:v>
                </c:pt>
                <c:pt idx="13">
                  <c:v>183640.73639000001</c:v>
                </c:pt>
                <c:pt idx="14">
                  <c:v>192206.82375499999</c:v>
                </c:pt>
                <c:pt idx="15">
                  <c:v>197765.00934700001</c:v>
                </c:pt>
                <c:pt idx="16">
                  <c:v>204585.625669</c:v>
                </c:pt>
                <c:pt idx="17">
                  <c:v>209166.75605600001</c:v>
                </c:pt>
                <c:pt idx="18">
                  <c:v>213600.46374499999</c:v>
                </c:pt>
                <c:pt idx="19">
                  <c:v>218310.43282700001</c:v>
                </c:pt>
                <c:pt idx="20">
                  <c:v>223626.85363600001</c:v>
                </c:pt>
                <c:pt idx="21">
                  <c:v>229420.818046</c:v>
                </c:pt>
                <c:pt idx="22">
                  <c:v>235153.734708</c:v>
                </c:pt>
                <c:pt idx="23">
                  <c:v>240667.677903</c:v>
                </c:pt>
                <c:pt idx="24">
                  <c:v>246020.38788600001</c:v>
                </c:pt>
                <c:pt idx="25">
                  <c:v>251388.49503200001</c:v>
                </c:pt>
                <c:pt idx="26">
                  <c:v>256937.68817800001</c:v>
                </c:pt>
                <c:pt idx="27">
                  <c:v>262473.91390400002</c:v>
                </c:pt>
                <c:pt idx="28">
                  <c:v>268435.69496200001</c:v>
                </c:pt>
                <c:pt idx="29">
                  <c:v>274863.32816999999</c:v>
                </c:pt>
                <c:pt idx="30">
                  <c:v>281719.67667000002</c:v>
                </c:pt>
                <c:pt idx="31">
                  <c:v>288822.62318300002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F3-456A-973F-717A879C7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90001"/>
        <c:axId val="50790002"/>
      </c:areaChart>
      <c:catAx>
        <c:axId val="507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90002"/>
        <c:crosses val="autoZero"/>
        <c:auto val="1"/>
        <c:lblAlgn val="ctr"/>
        <c:lblOffset val="100"/>
        <c:tickLblSkip val="2"/>
        <c:noMultiLvlLbl val="0"/>
      </c:catAx>
      <c:valAx>
        <c:axId val="507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79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'Total Emissions'!$B$42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Emissions'!$C$42:$AH$42</c:f>
              <c:numCache>
                <c:formatCode>General</c:formatCode>
                <c:ptCount val="32"/>
                <c:pt idx="0">
                  <c:v>48408352.039399996</c:v>
                </c:pt>
                <c:pt idx="1">
                  <c:v>47678833.358999997</c:v>
                </c:pt>
                <c:pt idx="2">
                  <c:v>46898817.90783</c:v>
                </c:pt>
                <c:pt idx="3">
                  <c:v>45892703.836570002</c:v>
                </c:pt>
                <c:pt idx="4">
                  <c:v>43608192.003300004</c:v>
                </c:pt>
                <c:pt idx="5">
                  <c:v>41092124.535130002</c:v>
                </c:pt>
                <c:pt idx="6">
                  <c:v>37840432.084959999</c:v>
                </c:pt>
                <c:pt idx="7">
                  <c:v>35274190.519699998</c:v>
                </c:pt>
                <c:pt idx="8">
                  <c:v>32706329.9254</c:v>
                </c:pt>
                <c:pt idx="9">
                  <c:v>30201445.070300002</c:v>
                </c:pt>
                <c:pt idx="10">
                  <c:v>27855983.595100001</c:v>
                </c:pt>
                <c:pt idx="11">
                  <c:v>25790255.559799999</c:v>
                </c:pt>
                <c:pt idx="12">
                  <c:v>24422863.928599998</c:v>
                </c:pt>
                <c:pt idx="13">
                  <c:v>23211984.341400001</c:v>
                </c:pt>
                <c:pt idx="14">
                  <c:v>22095101.486200001</c:v>
                </c:pt>
                <c:pt idx="15">
                  <c:v>20925206.192000002</c:v>
                </c:pt>
                <c:pt idx="16">
                  <c:v>19913309.837699998</c:v>
                </c:pt>
                <c:pt idx="17">
                  <c:v>18909288.7355</c:v>
                </c:pt>
                <c:pt idx="18">
                  <c:v>17938603.168400001</c:v>
                </c:pt>
                <c:pt idx="19">
                  <c:v>17024397.375100002</c:v>
                </c:pt>
                <c:pt idx="20">
                  <c:v>16405086.9571</c:v>
                </c:pt>
                <c:pt idx="21">
                  <c:v>15843746.437100001</c:v>
                </c:pt>
                <c:pt idx="22">
                  <c:v>15146210.6511</c:v>
                </c:pt>
                <c:pt idx="23">
                  <c:v>14520459.904100001</c:v>
                </c:pt>
                <c:pt idx="24">
                  <c:v>13965918.6281</c:v>
                </c:pt>
                <c:pt idx="25">
                  <c:v>13476214.7511</c:v>
                </c:pt>
                <c:pt idx="26">
                  <c:v>13041188.553099999</c:v>
                </c:pt>
                <c:pt idx="27">
                  <c:v>12675710.3391</c:v>
                </c:pt>
                <c:pt idx="28">
                  <c:v>12349584.6741</c:v>
                </c:pt>
                <c:pt idx="29">
                  <c:v>12055188.319399999</c:v>
                </c:pt>
                <c:pt idx="30">
                  <c:v>11786240.7118</c:v>
                </c:pt>
                <c:pt idx="31">
                  <c:v>11536972.4998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3-4013-BBDD-715F696DF650}"/>
            </c:ext>
          </c:extLst>
        </c:ser>
        <c:ser>
          <c:idx val="1"/>
          <c:order val="1"/>
          <c:tx>
            <c:strRef>
              <c:f>'Total Emissions'!$B$40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Emissions'!$C$40:$AH$40</c:f>
              <c:numCache>
                <c:formatCode>General</c:formatCode>
                <c:ptCount val="32"/>
                <c:pt idx="0">
                  <c:v>20476927.013766222</c:v>
                </c:pt>
                <c:pt idx="1">
                  <c:v>20464902.193875059</c:v>
                </c:pt>
                <c:pt idx="2">
                  <c:v>20468442.483579971</c:v>
                </c:pt>
                <c:pt idx="3">
                  <c:v>20469976.543291539</c:v>
                </c:pt>
                <c:pt idx="4">
                  <c:v>20005367.213024221</c:v>
                </c:pt>
                <c:pt idx="5">
                  <c:v>19534460.734566242</c:v>
                </c:pt>
                <c:pt idx="6">
                  <c:v>18060764.464855991</c:v>
                </c:pt>
                <c:pt idx="7">
                  <c:v>17624850.916318141</c:v>
                </c:pt>
                <c:pt idx="8">
                  <c:v>17190550.947749041</c:v>
                </c:pt>
                <c:pt idx="9">
                  <c:v>16755947.129154669</c:v>
                </c:pt>
                <c:pt idx="10">
                  <c:v>16318617.4612776</c:v>
                </c:pt>
                <c:pt idx="11">
                  <c:v>15888278.691969199</c:v>
                </c:pt>
                <c:pt idx="12">
                  <c:v>15704270.943520401</c:v>
                </c:pt>
                <c:pt idx="13">
                  <c:v>15519073.185086999</c:v>
                </c:pt>
                <c:pt idx="14">
                  <c:v>15332830.5866687</c:v>
                </c:pt>
                <c:pt idx="15">
                  <c:v>15145465.5089461</c:v>
                </c:pt>
                <c:pt idx="16">
                  <c:v>14957907.979091801</c:v>
                </c:pt>
                <c:pt idx="17">
                  <c:v>14775492.4099898</c:v>
                </c:pt>
                <c:pt idx="18">
                  <c:v>14591673.320942</c:v>
                </c:pt>
                <c:pt idx="19">
                  <c:v>14406350.1920051</c:v>
                </c:pt>
                <c:pt idx="20">
                  <c:v>14219356.1869261</c:v>
                </c:pt>
                <c:pt idx="21">
                  <c:v>14031397.5363557</c:v>
                </c:pt>
                <c:pt idx="22">
                  <c:v>13661157.693475701</c:v>
                </c:pt>
                <c:pt idx="23">
                  <c:v>13289720.4606135</c:v>
                </c:pt>
                <c:pt idx="24">
                  <c:v>12917203.0137688</c:v>
                </c:pt>
                <c:pt idx="25">
                  <c:v>12543728.2728498</c:v>
                </c:pt>
                <c:pt idx="26">
                  <c:v>12169149.248127701</c:v>
                </c:pt>
                <c:pt idx="27">
                  <c:v>11803365.7693041</c:v>
                </c:pt>
                <c:pt idx="28">
                  <c:v>11437393.603498301</c:v>
                </c:pt>
                <c:pt idx="29">
                  <c:v>11071212.817710901</c:v>
                </c:pt>
                <c:pt idx="30">
                  <c:v>10704909.397954401</c:v>
                </c:pt>
                <c:pt idx="31">
                  <c:v>10338169.3181883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013-BBDD-715F696DF650}"/>
            </c:ext>
          </c:extLst>
        </c:ser>
        <c:ser>
          <c:idx val="2"/>
          <c:order val="2"/>
          <c:tx>
            <c:strRef>
              <c:f>'Total Emissions'!$B$38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Emissions'!$C$38:$AH$38</c:f>
              <c:numCache>
                <c:formatCode>General</c:formatCode>
                <c:ptCount val="32"/>
                <c:pt idx="0">
                  <c:v>18990147.210269999</c:v>
                </c:pt>
                <c:pt idx="1">
                  <c:v>18990145.210269999</c:v>
                </c:pt>
                <c:pt idx="2">
                  <c:v>18990145.210269999</c:v>
                </c:pt>
                <c:pt idx="3">
                  <c:v>18990145.210269999</c:v>
                </c:pt>
                <c:pt idx="4">
                  <c:v>18345028.237969998</c:v>
                </c:pt>
                <c:pt idx="5">
                  <c:v>17699910.266770002</c:v>
                </c:pt>
                <c:pt idx="6">
                  <c:v>10047383.294570001</c:v>
                </c:pt>
                <c:pt idx="7">
                  <c:v>9743601.3233700003</c:v>
                </c:pt>
                <c:pt idx="8">
                  <c:v>9439818.3511699997</c:v>
                </c:pt>
                <c:pt idx="9">
                  <c:v>9136035.3799699992</c:v>
                </c:pt>
                <c:pt idx="10">
                  <c:v>8832252.4077700004</c:v>
                </c:pt>
                <c:pt idx="11">
                  <c:v>5385980.1861700006</c:v>
                </c:pt>
                <c:pt idx="12">
                  <c:v>5338250.9841700001</c:v>
                </c:pt>
                <c:pt idx="13">
                  <c:v>5290520.7821699996</c:v>
                </c:pt>
                <c:pt idx="14">
                  <c:v>5242791.5802699998</c:v>
                </c:pt>
                <c:pt idx="15">
                  <c:v>5195061.3784699999</c:v>
                </c:pt>
                <c:pt idx="16">
                  <c:v>5147332.1764700003</c:v>
                </c:pt>
                <c:pt idx="17">
                  <c:v>5099602.9744699998</c:v>
                </c:pt>
                <c:pt idx="18">
                  <c:v>5051872.77257</c:v>
                </c:pt>
                <c:pt idx="19">
                  <c:v>5004143.5705700004</c:v>
                </c:pt>
                <c:pt idx="20">
                  <c:v>4956413.3687699996</c:v>
                </c:pt>
                <c:pt idx="21">
                  <c:v>4908684.16677</c:v>
                </c:pt>
                <c:pt idx="22">
                  <c:v>4817997.2830699999</c:v>
                </c:pt>
                <c:pt idx="23">
                  <c:v>4727311.09937</c:v>
                </c:pt>
                <c:pt idx="24">
                  <c:v>4636624.7157699997</c:v>
                </c:pt>
                <c:pt idx="25">
                  <c:v>4545938.3319699997</c:v>
                </c:pt>
                <c:pt idx="26">
                  <c:v>4133861.0409200001</c:v>
                </c:pt>
                <c:pt idx="27">
                  <c:v>4088407.51235</c:v>
                </c:pt>
                <c:pt idx="28">
                  <c:v>4042953.98379</c:v>
                </c:pt>
                <c:pt idx="29">
                  <c:v>3997500.3552199998</c:v>
                </c:pt>
                <c:pt idx="30">
                  <c:v>3952046.8266599998</c:v>
                </c:pt>
                <c:pt idx="31">
                  <c:v>3906593.2380900001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3-4013-BBDD-715F696DF650}"/>
            </c:ext>
          </c:extLst>
        </c:ser>
        <c:ser>
          <c:idx val="3"/>
          <c:order val="3"/>
          <c:tx>
            <c:strRef>
              <c:f>'Total Emissions'!$B$41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Emissions'!$C$41:$AH$41</c:f>
              <c:numCache>
                <c:formatCode>General</c:formatCode>
                <c:ptCount val="32"/>
                <c:pt idx="0">
                  <c:v>9744535.1999999993</c:v>
                </c:pt>
                <c:pt idx="1">
                  <c:v>9714925.6999999993</c:v>
                </c:pt>
                <c:pt idx="2">
                  <c:v>9670781.9000000004</c:v>
                </c:pt>
                <c:pt idx="3">
                  <c:v>9620578.9000000004</c:v>
                </c:pt>
                <c:pt idx="4">
                  <c:v>9167055.3000000007</c:v>
                </c:pt>
                <c:pt idx="5">
                  <c:v>8690540.9000000004</c:v>
                </c:pt>
                <c:pt idx="6">
                  <c:v>5668250.4699999997</c:v>
                </c:pt>
                <c:pt idx="7">
                  <c:v>5238096.71</c:v>
                </c:pt>
                <c:pt idx="8">
                  <c:v>4816653.97</c:v>
                </c:pt>
                <c:pt idx="9">
                  <c:v>4394467.17</c:v>
                </c:pt>
                <c:pt idx="10">
                  <c:v>3962088.71</c:v>
                </c:pt>
                <c:pt idx="11">
                  <c:v>3529995.23</c:v>
                </c:pt>
                <c:pt idx="12">
                  <c:v>3252118.58</c:v>
                </c:pt>
                <c:pt idx="13">
                  <c:v>2969141.52</c:v>
                </c:pt>
                <c:pt idx="14">
                  <c:v>2691674.41</c:v>
                </c:pt>
                <c:pt idx="15">
                  <c:v>2429776.35</c:v>
                </c:pt>
                <c:pt idx="16">
                  <c:v>2198607.88</c:v>
                </c:pt>
                <c:pt idx="17">
                  <c:v>1994635.64</c:v>
                </c:pt>
                <c:pt idx="18">
                  <c:v>1816456.64</c:v>
                </c:pt>
                <c:pt idx="19">
                  <c:v>1660360.16</c:v>
                </c:pt>
                <c:pt idx="20">
                  <c:v>1522061.16</c:v>
                </c:pt>
                <c:pt idx="21">
                  <c:v>1398540.02</c:v>
                </c:pt>
                <c:pt idx="22">
                  <c:v>1250225.74</c:v>
                </c:pt>
                <c:pt idx="23">
                  <c:v>1113665.6599999999</c:v>
                </c:pt>
                <c:pt idx="24">
                  <c:v>987275.39</c:v>
                </c:pt>
                <c:pt idx="25">
                  <c:v>869994.15999999992</c:v>
                </c:pt>
                <c:pt idx="26">
                  <c:v>759173.29</c:v>
                </c:pt>
                <c:pt idx="27">
                  <c:v>685050.82000000007</c:v>
                </c:pt>
                <c:pt idx="28">
                  <c:v>614517.52</c:v>
                </c:pt>
                <c:pt idx="29">
                  <c:v>546055.79</c:v>
                </c:pt>
                <c:pt idx="30">
                  <c:v>479054.11</c:v>
                </c:pt>
                <c:pt idx="31">
                  <c:v>412229.01699999999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D3-4013-BBDD-715F696DF650}"/>
            </c:ext>
          </c:extLst>
        </c:ser>
        <c:ser>
          <c:idx val="4"/>
          <c:order val="4"/>
          <c:tx>
            <c:strRef>
              <c:f>'Total Emissions'!$B$37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Emissions'!$C$37:$AH$37</c:f>
              <c:numCache>
                <c:formatCode>General</c:formatCode>
                <c:ptCount val="32"/>
                <c:pt idx="0">
                  <c:v>7899613.5607049996</c:v>
                </c:pt>
                <c:pt idx="1">
                  <c:v>7860394.4495959999</c:v>
                </c:pt>
                <c:pt idx="2">
                  <c:v>7909264.983891</c:v>
                </c:pt>
                <c:pt idx="3">
                  <c:v>7952860.02618</c:v>
                </c:pt>
                <c:pt idx="4">
                  <c:v>7670512.765447</c:v>
                </c:pt>
                <c:pt idx="5">
                  <c:v>7199643.3709049998</c:v>
                </c:pt>
                <c:pt idx="6">
                  <c:v>4354723.3646149999</c:v>
                </c:pt>
                <c:pt idx="7">
                  <c:v>4016256.3771529999</c:v>
                </c:pt>
                <c:pt idx="8">
                  <c:v>3695534.2297220002</c:v>
                </c:pt>
                <c:pt idx="9">
                  <c:v>3386710.9893169999</c:v>
                </c:pt>
                <c:pt idx="10">
                  <c:v>3023649.1321939998</c:v>
                </c:pt>
                <c:pt idx="11">
                  <c:v>2764985.2005019998</c:v>
                </c:pt>
                <c:pt idx="12">
                  <c:v>2607934.1239510002</c:v>
                </c:pt>
                <c:pt idx="13">
                  <c:v>2455674.0833840002</c:v>
                </c:pt>
                <c:pt idx="14">
                  <c:v>2308391.970803</c:v>
                </c:pt>
                <c:pt idx="15">
                  <c:v>2139757.5265250001</c:v>
                </c:pt>
                <c:pt idx="16">
                  <c:v>2067163.8273799999</c:v>
                </c:pt>
                <c:pt idx="17">
                  <c:v>1967066.0784819999</c:v>
                </c:pt>
                <c:pt idx="18">
                  <c:v>1866544.923529</c:v>
                </c:pt>
                <c:pt idx="19">
                  <c:v>1764541.5404660001</c:v>
                </c:pt>
                <c:pt idx="20">
                  <c:v>1639425.8735450001</c:v>
                </c:pt>
                <c:pt idx="21">
                  <c:v>1559565.5391160001</c:v>
                </c:pt>
                <c:pt idx="22">
                  <c:v>1413783.316996</c:v>
                </c:pt>
                <c:pt idx="23">
                  <c:v>1270860.264858</c:v>
                </c:pt>
                <c:pt idx="24">
                  <c:v>1131056.2727030001</c:v>
                </c:pt>
                <c:pt idx="25">
                  <c:v>979900.512322</c:v>
                </c:pt>
                <c:pt idx="26">
                  <c:v>861276.29064400005</c:v>
                </c:pt>
                <c:pt idx="27">
                  <c:v>760240.55966699996</c:v>
                </c:pt>
                <c:pt idx="28">
                  <c:v>662618.63987299998</c:v>
                </c:pt>
                <c:pt idx="29">
                  <c:v>568336.54186100001</c:v>
                </c:pt>
                <c:pt idx="30">
                  <c:v>471256.59591700003</c:v>
                </c:pt>
                <c:pt idx="31">
                  <c:v>389542.01158300001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D3-4013-BBDD-715F696DF650}"/>
            </c:ext>
          </c:extLst>
        </c:ser>
        <c:ser>
          <c:idx val="5"/>
          <c:order val="5"/>
          <c:tx>
            <c:strRef>
              <c:f>'Total Emissions'!$B$36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Emissions'!$C$36:$AH$36</c:f>
              <c:numCache>
                <c:formatCode>General</c:formatCode>
                <c:ptCount val="32"/>
                <c:pt idx="0">
                  <c:v>378717.85989999998</c:v>
                </c:pt>
                <c:pt idx="1">
                  <c:v>378717.85989999998</c:v>
                </c:pt>
                <c:pt idx="2">
                  <c:v>378717.85989999998</c:v>
                </c:pt>
                <c:pt idx="3">
                  <c:v>378717.85989999998</c:v>
                </c:pt>
                <c:pt idx="4">
                  <c:v>378717.85989999998</c:v>
                </c:pt>
                <c:pt idx="5">
                  <c:v>378717.85989999998</c:v>
                </c:pt>
                <c:pt idx="6">
                  <c:v>378717.85989999998</c:v>
                </c:pt>
                <c:pt idx="7">
                  <c:v>378717.85989999998</c:v>
                </c:pt>
                <c:pt idx="8">
                  <c:v>378717.85989999998</c:v>
                </c:pt>
                <c:pt idx="9">
                  <c:v>378717.85989999998</c:v>
                </c:pt>
                <c:pt idx="10">
                  <c:v>378717.85989999998</c:v>
                </c:pt>
                <c:pt idx="11">
                  <c:v>378717.85989999998</c:v>
                </c:pt>
                <c:pt idx="12">
                  <c:v>378717.85989999998</c:v>
                </c:pt>
                <c:pt idx="13">
                  <c:v>378717.85989999998</c:v>
                </c:pt>
                <c:pt idx="14">
                  <c:v>378717.85989999998</c:v>
                </c:pt>
                <c:pt idx="15">
                  <c:v>378717.85989999998</c:v>
                </c:pt>
                <c:pt idx="16">
                  <c:v>378717.85989999998</c:v>
                </c:pt>
                <c:pt idx="17">
                  <c:v>378717.85989999998</c:v>
                </c:pt>
                <c:pt idx="18">
                  <c:v>378717.85989999998</c:v>
                </c:pt>
                <c:pt idx="19">
                  <c:v>378717.85989999998</c:v>
                </c:pt>
                <c:pt idx="20">
                  <c:v>378717.85989999998</c:v>
                </c:pt>
                <c:pt idx="21">
                  <c:v>378717.85989999998</c:v>
                </c:pt>
                <c:pt idx="22">
                  <c:v>378717.85989999998</c:v>
                </c:pt>
                <c:pt idx="23">
                  <c:v>378717.85989999998</c:v>
                </c:pt>
                <c:pt idx="24">
                  <c:v>378717.85989999998</c:v>
                </c:pt>
                <c:pt idx="25">
                  <c:v>378717.85989999998</c:v>
                </c:pt>
                <c:pt idx="26">
                  <c:v>378717.85989999998</c:v>
                </c:pt>
                <c:pt idx="27">
                  <c:v>378717.85989999998</c:v>
                </c:pt>
                <c:pt idx="28">
                  <c:v>378717.85989999998</c:v>
                </c:pt>
                <c:pt idx="29">
                  <c:v>378717.85989999998</c:v>
                </c:pt>
                <c:pt idx="30">
                  <c:v>378717.85989999998</c:v>
                </c:pt>
                <c:pt idx="31">
                  <c:v>378717.85989999998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D3-4013-BBDD-715F696DF650}"/>
            </c:ext>
          </c:extLst>
        </c:ser>
        <c:ser>
          <c:idx val="6"/>
          <c:order val="6"/>
          <c:tx>
            <c:strRef>
              <c:f>'Total Emissions'!$B$39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cat>
            <c:numRef>
              <c:f>'Total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'Total Emissions'!$C$39:$AH$39</c:f>
              <c:numCache>
                <c:formatCode>General</c:formatCode>
                <c:ptCount val="32"/>
                <c:pt idx="0">
                  <c:v>221100.7</c:v>
                </c:pt>
                <c:pt idx="1">
                  <c:v>220935.7</c:v>
                </c:pt>
                <c:pt idx="2">
                  <c:v>220534.5</c:v>
                </c:pt>
                <c:pt idx="3">
                  <c:v>220004.6</c:v>
                </c:pt>
                <c:pt idx="4">
                  <c:v>219253.2</c:v>
                </c:pt>
                <c:pt idx="5">
                  <c:v>217058.8</c:v>
                </c:pt>
                <c:pt idx="6">
                  <c:v>215924.1</c:v>
                </c:pt>
                <c:pt idx="7">
                  <c:v>213883.7</c:v>
                </c:pt>
                <c:pt idx="8">
                  <c:v>211791.7</c:v>
                </c:pt>
                <c:pt idx="9">
                  <c:v>209578.8</c:v>
                </c:pt>
                <c:pt idx="10">
                  <c:v>206295.4</c:v>
                </c:pt>
                <c:pt idx="11">
                  <c:v>155291</c:v>
                </c:pt>
                <c:pt idx="12">
                  <c:v>151821.9</c:v>
                </c:pt>
                <c:pt idx="13">
                  <c:v>148185.4</c:v>
                </c:pt>
                <c:pt idx="14">
                  <c:v>144511.20000000001</c:v>
                </c:pt>
                <c:pt idx="15">
                  <c:v>140515.5</c:v>
                </c:pt>
                <c:pt idx="16">
                  <c:v>138375.4</c:v>
                </c:pt>
                <c:pt idx="17">
                  <c:v>136144.5</c:v>
                </c:pt>
                <c:pt idx="18">
                  <c:v>134210</c:v>
                </c:pt>
                <c:pt idx="19">
                  <c:v>132531.29999999999</c:v>
                </c:pt>
                <c:pt idx="20">
                  <c:v>130636.6</c:v>
                </c:pt>
                <c:pt idx="21">
                  <c:v>129800.7</c:v>
                </c:pt>
                <c:pt idx="22">
                  <c:v>128644.2</c:v>
                </c:pt>
                <c:pt idx="23">
                  <c:v>127618.2</c:v>
                </c:pt>
                <c:pt idx="24">
                  <c:v>126716.9</c:v>
                </c:pt>
                <c:pt idx="25">
                  <c:v>125484.8</c:v>
                </c:pt>
                <c:pt idx="26">
                  <c:v>113202.6</c:v>
                </c:pt>
                <c:pt idx="27">
                  <c:v>112612.1</c:v>
                </c:pt>
                <c:pt idx="28">
                  <c:v>112092</c:v>
                </c:pt>
                <c:pt idx="29">
                  <c:v>111614.3</c:v>
                </c:pt>
                <c:pt idx="30">
                  <c:v>110694.5</c:v>
                </c:pt>
                <c:pt idx="31">
                  <c:v>110713.5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D3-4013-BBDD-715F696D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0001"/>
        <c:axId val="50080002"/>
      </c:areaChart>
      <c:catAx>
        <c:axId val="500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80002"/>
        <c:crosses val="autoZero"/>
        <c:auto val="1"/>
        <c:lblAlgn val="ctr"/>
        <c:lblOffset val="100"/>
        <c:tickLblSkip val="2"/>
        <c:noMultiLvlLbl val="0"/>
      </c:catAx>
      <c:valAx>
        <c:axId val="500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8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Energy'!$B$41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Energy'!$C$41,'Transportation Energy'!$AH$41)</c:f>
              <c:numCache>
                <c:formatCode>General</c:formatCode>
                <c:ptCount val="2"/>
                <c:pt idx="0">
                  <c:v>344926069.060785</c:v>
                </c:pt>
                <c:pt idx="1">
                  <c:v>285171233.14341599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7-490B-A08D-7B4870D387FB}"/>
            </c:ext>
          </c:extLst>
        </c:ser>
        <c:ser>
          <c:idx val="1"/>
          <c:order val="1"/>
          <c:tx>
            <c:strRef>
              <c:f>'Transportation Energy'!$B$40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Energy'!$C$40,'Transportation Energy'!$AH$40)</c:f>
              <c:numCache>
                <c:formatCode>General</c:formatCode>
                <c:ptCount val="2"/>
                <c:pt idx="0">
                  <c:v>139372488.64840001</c:v>
                </c:pt>
                <c:pt idx="1">
                  <c:v>128694541.272075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7-490B-A08D-7B4870D387FB}"/>
            </c:ext>
          </c:extLst>
        </c:ser>
        <c:ser>
          <c:idx val="2"/>
          <c:order val="2"/>
          <c:tx>
            <c:strRef>
              <c:f>'Transportation Energy'!$B$43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Energy'!$C$43,'Transportation Energy'!$AH$43)</c:f>
              <c:numCache>
                <c:formatCode>General</c:formatCode>
                <c:ptCount val="2"/>
                <c:pt idx="0">
                  <c:v>521179.24215300003</c:v>
                </c:pt>
                <c:pt idx="1">
                  <c:v>2043940.9348210001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C7-490B-A08D-7B4870D387FB}"/>
            </c:ext>
          </c:extLst>
        </c:ser>
        <c:ser>
          <c:idx val="3"/>
          <c:order val="3"/>
          <c:tx>
            <c:strRef>
              <c:f>'Transportation Energy'!$B$44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Energy'!$C$44,'Transportation Energy'!$AH$44)</c:f>
              <c:numCache>
                <c:formatCode>General</c:formatCode>
                <c:ptCount val="2"/>
                <c:pt idx="0">
                  <c:v>180038.520964</c:v>
                </c:pt>
                <c:pt idx="1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C7-490B-A08D-7B4870D387FB}"/>
            </c:ext>
          </c:extLst>
        </c:ser>
        <c:ser>
          <c:idx val="4"/>
          <c:order val="4"/>
          <c:tx>
            <c:strRef>
              <c:f>'Transportation Energy'!$B$42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Energy'!$C$11,'Transportation Energy'!$AH$11)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Energy'!$C$42,'Transportation Energy'!$AH$42)</c:f>
              <c:numCache>
                <c:formatCode>General</c:formatCode>
                <c:ptCount val="2"/>
                <c:pt idx="0">
                  <c:v>11510.165392000001</c:v>
                </c:pt>
                <c:pt idx="1">
                  <c:v>288822.62318300002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C7-490B-A08D-7B4870D3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800001"/>
        <c:axId val="50800002"/>
      </c:barChart>
      <c:catAx>
        <c:axId val="508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00002"/>
        <c:crosses val="autoZero"/>
        <c:auto val="1"/>
        <c:lblAlgn val="ctr"/>
        <c:lblOffset val="100"/>
        <c:noMultiLvlLbl val="0"/>
      </c:catAx>
      <c:valAx>
        <c:axId val="508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0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Energy'!$B$50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Energy'!$C$50:$AH$50</c:f>
              <c:numCache>
                <c:formatCode>General</c:formatCode>
                <c:ptCount val="32"/>
                <c:pt idx="0">
                  <c:v>247762338.83683699</c:v>
                </c:pt>
                <c:pt idx="1">
                  <c:v>227311673.84916401</c:v>
                </c:pt>
                <c:pt idx="2">
                  <c:v>213408701.26876199</c:v>
                </c:pt>
                <c:pt idx="3">
                  <c:v>200265557.99615601</c:v>
                </c:pt>
                <c:pt idx="4">
                  <c:v>187852531.28660199</c:v>
                </c:pt>
                <c:pt idx="5">
                  <c:v>176169573.046855</c:v>
                </c:pt>
                <c:pt idx="6">
                  <c:v>165324673.48738599</c:v>
                </c:pt>
                <c:pt idx="7">
                  <c:v>154547267.69662401</c:v>
                </c:pt>
                <c:pt idx="8">
                  <c:v>144536680.56734201</c:v>
                </c:pt>
                <c:pt idx="9">
                  <c:v>135442106.429795</c:v>
                </c:pt>
                <c:pt idx="10">
                  <c:v>127177755.42319</c:v>
                </c:pt>
                <c:pt idx="11">
                  <c:v>119678882.07100999</c:v>
                </c:pt>
                <c:pt idx="12">
                  <c:v>112756972.99629</c:v>
                </c:pt>
                <c:pt idx="13">
                  <c:v>106422716.571605</c:v>
                </c:pt>
                <c:pt idx="14">
                  <c:v>100589155.026261</c:v>
                </c:pt>
                <c:pt idx="15">
                  <c:v>95188058.951187</c:v>
                </c:pt>
                <c:pt idx="16">
                  <c:v>90169283.616560996</c:v>
                </c:pt>
                <c:pt idx="17">
                  <c:v>89094341.066147</c:v>
                </c:pt>
                <c:pt idx="18">
                  <c:v>88099393.852053002</c:v>
                </c:pt>
                <c:pt idx="19">
                  <c:v>87177253.830907002</c:v>
                </c:pt>
                <c:pt idx="20">
                  <c:v>86562837.091995001</c:v>
                </c:pt>
                <c:pt idx="21">
                  <c:v>85964244.150011003</c:v>
                </c:pt>
                <c:pt idx="22">
                  <c:v>85332130.43373099</c:v>
                </c:pt>
                <c:pt idx="23">
                  <c:v>84709562.348278001</c:v>
                </c:pt>
                <c:pt idx="24">
                  <c:v>84094033.544900998</c:v>
                </c:pt>
                <c:pt idx="25">
                  <c:v>83483314.998611003</c:v>
                </c:pt>
                <c:pt idx="26">
                  <c:v>82875648.553270996</c:v>
                </c:pt>
                <c:pt idx="27">
                  <c:v>82299808.219337001</c:v>
                </c:pt>
                <c:pt idx="28">
                  <c:v>81724530.334456995</c:v>
                </c:pt>
                <c:pt idx="29">
                  <c:v>81149461.877672002</c:v>
                </c:pt>
                <c:pt idx="30">
                  <c:v>80574465.087949991</c:v>
                </c:pt>
                <c:pt idx="31">
                  <c:v>79999505.226181999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B-45CB-AA35-941665A089D8}"/>
            </c:ext>
          </c:extLst>
        </c:ser>
        <c:ser>
          <c:idx val="1"/>
          <c:order val="1"/>
          <c:tx>
            <c:strRef>
              <c:f>'Transportation Energy'!$B$49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Energy'!$C$49:$AH$49</c:f>
              <c:numCache>
                <c:formatCode>General</c:formatCode>
                <c:ptCount val="32"/>
                <c:pt idx="0">
                  <c:v>119614708.408329</c:v>
                </c:pt>
                <c:pt idx="1">
                  <c:v>124773412.887197</c:v>
                </c:pt>
                <c:pt idx="2">
                  <c:v>120378131.96361201</c:v>
                </c:pt>
                <c:pt idx="3">
                  <c:v>116145941.95926</c:v>
                </c:pt>
                <c:pt idx="4">
                  <c:v>111558820.023425</c:v>
                </c:pt>
                <c:pt idx="5">
                  <c:v>105665948.241997</c:v>
                </c:pt>
                <c:pt idx="6">
                  <c:v>92924011.33256799</c:v>
                </c:pt>
                <c:pt idx="7">
                  <c:v>85575952.683916003</c:v>
                </c:pt>
                <c:pt idx="8">
                  <c:v>77461322.350368991</c:v>
                </c:pt>
                <c:pt idx="9">
                  <c:v>69489197.198802993</c:v>
                </c:pt>
                <c:pt idx="10">
                  <c:v>62143757.351873003</c:v>
                </c:pt>
                <c:pt idx="11">
                  <c:v>56191586.351815</c:v>
                </c:pt>
                <c:pt idx="12">
                  <c:v>51932080.815701</c:v>
                </c:pt>
                <c:pt idx="13">
                  <c:v>48588563.437445998</c:v>
                </c:pt>
                <c:pt idx="14">
                  <c:v>45645887.556890003</c:v>
                </c:pt>
                <c:pt idx="15">
                  <c:v>42100467.922370002</c:v>
                </c:pt>
                <c:pt idx="16">
                  <c:v>39500784.315098003</c:v>
                </c:pt>
                <c:pt idx="17">
                  <c:v>36892238.425425999</c:v>
                </c:pt>
                <c:pt idx="18">
                  <c:v>34248277.129532002</c:v>
                </c:pt>
                <c:pt idx="19">
                  <c:v>31759741.558146998</c:v>
                </c:pt>
                <c:pt idx="20">
                  <c:v>29738718.645842001</c:v>
                </c:pt>
                <c:pt idx="21">
                  <c:v>27954840.940274999</c:v>
                </c:pt>
                <c:pt idx="22">
                  <c:v>26649341.876993001</c:v>
                </c:pt>
                <c:pt idx="23">
                  <c:v>25452523.742541</c:v>
                </c:pt>
                <c:pt idx="24">
                  <c:v>24409717.316594001</c:v>
                </c:pt>
                <c:pt idx="25">
                  <c:v>23544898.215502001</c:v>
                </c:pt>
                <c:pt idx="26">
                  <c:v>22857888.107097998</c:v>
                </c:pt>
                <c:pt idx="27">
                  <c:v>22331746.372928999</c:v>
                </c:pt>
                <c:pt idx="28">
                  <c:v>21967830.812022001</c:v>
                </c:pt>
                <c:pt idx="29">
                  <c:v>21748604.085471001</c:v>
                </c:pt>
                <c:pt idx="30">
                  <c:v>21645303.7161</c:v>
                </c:pt>
                <c:pt idx="31">
                  <c:v>21612245.686979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B-45CB-AA35-941665A089D8}"/>
            </c:ext>
          </c:extLst>
        </c:ser>
        <c:ser>
          <c:idx val="2"/>
          <c:order val="2"/>
          <c:tx>
            <c:strRef>
              <c:f>'Transportation Energy'!$B$51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Energy'!$C$51:$AH$51</c:f>
              <c:numCache>
                <c:formatCode>General</c:formatCode>
                <c:ptCount val="32"/>
                <c:pt idx="0">
                  <c:v>113751015.381651</c:v>
                </c:pt>
                <c:pt idx="1">
                  <c:v>120516032.891012</c:v>
                </c:pt>
                <c:pt idx="2">
                  <c:v>119889021.62207501</c:v>
                </c:pt>
                <c:pt idx="3">
                  <c:v>115925287.71712101</c:v>
                </c:pt>
                <c:pt idx="4">
                  <c:v>113375374.641293</c:v>
                </c:pt>
                <c:pt idx="5">
                  <c:v>107882008.40263499</c:v>
                </c:pt>
                <c:pt idx="6">
                  <c:v>99297034.638347998</c:v>
                </c:pt>
                <c:pt idx="7">
                  <c:v>92979994.380114987</c:v>
                </c:pt>
                <c:pt idx="8">
                  <c:v>86359225.264682993</c:v>
                </c:pt>
                <c:pt idx="9">
                  <c:v>79136786.278158993</c:v>
                </c:pt>
                <c:pt idx="10">
                  <c:v>72146341.844420001</c:v>
                </c:pt>
                <c:pt idx="11">
                  <c:v>66519378.144216999</c:v>
                </c:pt>
                <c:pt idx="12">
                  <c:v>61502030.439906999</c:v>
                </c:pt>
                <c:pt idx="13">
                  <c:v>57355366.993701003</c:v>
                </c:pt>
                <c:pt idx="14">
                  <c:v>53727010.750354007</c:v>
                </c:pt>
                <c:pt idx="15">
                  <c:v>49369921.73804</c:v>
                </c:pt>
                <c:pt idx="16">
                  <c:v>46067993.273452997</c:v>
                </c:pt>
                <c:pt idx="17">
                  <c:v>42830767.554067001</c:v>
                </c:pt>
                <c:pt idx="18">
                  <c:v>39701830.585514002</c:v>
                </c:pt>
                <c:pt idx="19">
                  <c:v>36810716.973255001</c:v>
                </c:pt>
                <c:pt idx="20">
                  <c:v>34492266.223357998</c:v>
                </c:pt>
                <c:pt idx="21">
                  <c:v>32442373.760983001</c:v>
                </c:pt>
                <c:pt idx="22">
                  <c:v>30973162.562107</c:v>
                </c:pt>
                <c:pt idx="23">
                  <c:v>29620866.040950999</c:v>
                </c:pt>
                <c:pt idx="24">
                  <c:v>28436499.921328001</c:v>
                </c:pt>
                <c:pt idx="25">
                  <c:v>27447492.955077998</c:v>
                </c:pt>
                <c:pt idx="26">
                  <c:v>26652896.752723001</c:v>
                </c:pt>
                <c:pt idx="27">
                  <c:v>26042289.389031999</c:v>
                </c:pt>
                <c:pt idx="28">
                  <c:v>25613500.220725</c:v>
                </c:pt>
                <c:pt idx="29">
                  <c:v>25344450.956241999</c:v>
                </c:pt>
                <c:pt idx="30">
                  <c:v>25203035.762409002</c:v>
                </c:pt>
                <c:pt idx="31">
                  <c:v>25141829.009559002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9B-45CB-AA35-941665A089D8}"/>
            </c:ext>
          </c:extLst>
        </c:ser>
        <c:ser>
          <c:idx val="3"/>
          <c:order val="3"/>
          <c:tx>
            <c:strRef>
              <c:f>'Transportation Energy'!$B$52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Energy'!$C$52:$AH$52</c:f>
              <c:numCache>
                <c:formatCode>General</c:formatCode>
                <c:ptCount val="32"/>
                <c:pt idx="0">
                  <c:v>3883223.0108770002</c:v>
                </c:pt>
                <c:pt idx="1">
                  <c:v>3883223.010677</c:v>
                </c:pt>
                <c:pt idx="2">
                  <c:v>3842672.1616139999</c:v>
                </c:pt>
                <c:pt idx="3">
                  <c:v>3802121.696393</c:v>
                </c:pt>
                <c:pt idx="4">
                  <c:v>3761571.0708420002</c:v>
                </c:pt>
                <c:pt idx="5">
                  <c:v>3721020.1904870002</c:v>
                </c:pt>
                <c:pt idx="6">
                  <c:v>3680469.5336440001</c:v>
                </c:pt>
                <c:pt idx="7">
                  <c:v>3639918.9084930001</c:v>
                </c:pt>
                <c:pt idx="8">
                  <c:v>3599368.2504509999</c:v>
                </c:pt>
                <c:pt idx="9">
                  <c:v>3558817.4027880002</c:v>
                </c:pt>
                <c:pt idx="10">
                  <c:v>3518266.7142540002</c:v>
                </c:pt>
                <c:pt idx="11">
                  <c:v>3477716.0875039999</c:v>
                </c:pt>
                <c:pt idx="12">
                  <c:v>3437165.4326599999</c:v>
                </c:pt>
                <c:pt idx="13">
                  <c:v>3396614.7746179998</c:v>
                </c:pt>
                <c:pt idx="14">
                  <c:v>3356063.925357</c:v>
                </c:pt>
                <c:pt idx="15">
                  <c:v>3315513.2681149999</c:v>
                </c:pt>
                <c:pt idx="16">
                  <c:v>3274962.8349830001</c:v>
                </c:pt>
                <c:pt idx="17">
                  <c:v>3234411.9528310001</c:v>
                </c:pt>
                <c:pt idx="18">
                  <c:v>3193861.1043679998</c:v>
                </c:pt>
                <c:pt idx="19">
                  <c:v>3153310.6720349998</c:v>
                </c:pt>
                <c:pt idx="20">
                  <c:v>3153310.671236</c:v>
                </c:pt>
                <c:pt idx="21">
                  <c:v>3153310.6736329999</c:v>
                </c:pt>
                <c:pt idx="22">
                  <c:v>3153310.6704370002</c:v>
                </c:pt>
                <c:pt idx="23">
                  <c:v>3153310.6720349998</c:v>
                </c:pt>
                <c:pt idx="24">
                  <c:v>3153310.671236</c:v>
                </c:pt>
                <c:pt idx="25">
                  <c:v>3153310.672834001</c:v>
                </c:pt>
                <c:pt idx="26">
                  <c:v>3153310.672834001</c:v>
                </c:pt>
                <c:pt idx="27">
                  <c:v>3153310.6720349998</c:v>
                </c:pt>
                <c:pt idx="28">
                  <c:v>3153310.672834001</c:v>
                </c:pt>
                <c:pt idx="29">
                  <c:v>3153310.6736329999</c:v>
                </c:pt>
                <c:pt idx="30">
                  <c:v>3153310.6704370002</c:v>
                </c:pt>
                <c:pt idx="31">
                  <c:v>3153310.671236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9B-45CB-AA35-941665A08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10001"/>
        <c:axId val="50810002"/>
      </c:areaChart>
      <c:catAx>
        <c:axId val="508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10002"/>
        <c:crosses val="autoZero"/>
        <c:auto val="1"/>
        <c:lblAlgn val="ctr"/>
        <c:lblOffset val="100"/>
        <c:tickLblSkip val="2"/>
        <c:noMultiLvlLbl val="0"/>
      </c:catAx>
      <c:valAx>
        <c:axId val="508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1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Energy'!$B$50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Energy'!$C$50,'Transportation Energy'!$AH$50)</c:f>
              <c:numCache>
                <c:formatCode>General</c:formatCode>
                <c:ptCount val="2"/>
                <c:pt idx="0">
                  <c:v>247762338.83683699</c:v>
                </c:pt>
                <c:pt idx="1">
                  <c:v>79999505.226181999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1-4238-9152-3978610B3B49}"/>
            </c:ext>
          </c:extLst>
        </c:ser>
        <c:ser>
          <c:idx val="1"/>
          <c:order val="1"/>
          <c:tx>
            <c:strRef>
              <c:f>'Transportation Energy'!$B$49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Energy'!$C$49,'Transportation Energy'!$AH$49)</c:f>
              <c:numCache>
                <c:formatCode>General</c:formatCode>
                <c:ptCount val="2"/>
                <c:pt idx="0">
                  <c:v>119614708.408329</c:v>
                </c:pt>
                <c:pt idx="1">
                  <c:v>21612245.686979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1-4238-9152-3978610B3B49}"/>
            </c:ext>
          </c:extLst>
        </c:ser>
        <c:ser>
          <c:idx val="2"/>
          <c:order val="2"/>
          <c:tx>
            <c:strRef>
              <c:f>'Transportation Energy'!$B$51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Energy'!$C$51,'Transportation Energy'!$AH$51)</c:f>
              <c:numCache>
                <c:formatCode>General</c:formatCode>
                <c:ptCount val="2"/>
                <c:pt idx="0">
                  <c:v>113751015.381651</c:v>
                </c:pt>
                <c:pt idx="1">
                  <c:v>25141829.009559002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71-4238-9152-3978610B3B49}"/>
            </c:ext>
          </c:extLst>
        </c:ser>
        <c:ser>
          <c:idx val="3"/>
          <c:order val="3"/>
          <c:tx>
            <c:strRef>
              <c:f>'Transportation Energy'!$B$52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Energy'!$C$52,'Transportation Energy'!$AH$52)</c:f>
              <c:numCache>
                <c:formatCode>General</c:formatCode>
                <c:ptCount val="2"/>
                <c:pt idx="0">
                  <c:v>3883223.0108770002</c:v>
                </c:pt>
                <c:pt idx="1">
                  <c:v>3153310.671236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71-4238-9152-3978610B3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820001"/>
        <c:axId val="50820002"/>
      </c:barChart>
      <c:catAx>
        <c:axId val="508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20002"/>
        <c:crosses val="autoZero"/>
        <c:auto val="1"/>
        <c:lblAlgn val="ctr"/>
        <c:lblOffset val="100"/>
        <c:noMultiLvlLbl val="0"/>
      </c:catAx>
      <c:valAx>
        <c:axId val="508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Energy'!$B$55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Energy'!$C$55:$AH$55</c:f>
              <c:numCache>
                <c:formatCode>General</c:formatCode>
                <c:ptCount val="32"/>
                <c:pt idx="0">
                  <c:v>247762338.83683699</c:v>
                </c:pt>
                <c:pt idx="1">
                  <c:v>227455068.00186199</c:v>
                </c:pt>
                <c:pt idx="2">
                  <c:v>215704845.73983401</c:v>
                </c:pt>
                <c:pt idx="3">
                  <c:v>204531803.46288401</c:v>
                </c:pt>
                <c:pt idx="4">
                  <c:v>193906919.675942</c:v>
                </c:pt>
                <c:pt idx="5">
                  <c:v>183832152.18316001</c:v>
                </c:pt>
                <c:pt idx="6">
                  <c:v>174438407.60266101</c:v>
                </c:pt>
                <c:pt idx="7">
                  <c:v>164912976.41869</c:v>
                </c:pt>
                <c:pt idx="8">
                  <c:v>155988598.50666499</c:v>
                </c:pt>
                <c:pt idx="9">
                  <c:v>147883883.35150599</c:v>
                </c:pt>
                <c:pt idx="10">
                  <c:v>140541326.97128299</c:v>
                </c:pt>
                <c:pt idx="11">
                  <c:v>133932239.22503</c:v>
                </c:pt>
                <c:pt idx="12">
                  <c:v>127882832.768796</c:v>
                </c:pt>
                <c:pt idx="13">
                  <c:v>122429353.78747401</c:v>
                </c:pt>
                <c:pt idx="14">
                  <c:v>117489274.35270999</c:v>
                </c:pt>
                <c:pt idx="15">
                  <c:v>112994351.435799</c:v>
                </c:pt>
                <c:pt idx="16">
                  <c:v>108894097.407113</c:v>
                </c:pt>
                <c:pt idx="17">
                  <c:v>107363708.16632</c:v>
                </c:pt>
                <c:pt idx="18">
                  <c:v>105959498.56370001</c:v>
                </c:pt>
                <c:pt idx="19">
                  <c:v>104668501.070398</c:v>
                </c:pt>
                <c:pt idx="20">
                  <c:v>103719909.834144</c:v>
                </c:pt>
                <c:pt idx="21">
                  <c:v>102816575.50652499</c:v>
                </c:pt>
                <c:pt idx="22">
                  <c:v>101894831.81978799</c:v>
                </c:pt>
                <c:pt idx="23">
                  <c:v>101001680.065311</c:v>
                </c:pt>
                <c:pt idx="24">
                  <c:v>100130617.59328</c:v>
                </c:pt>
                <c:pt idx="25">
                  <c:v>99275163.787949994</c:v>
                </c:pt>
                <c:pt idx="26">
                  <c:v>98429848.124772996</c:v>
                </c:pt>
                <c:pt idx="27">
                  <c:v>97626234.673161</c:v>
                </c:pt>
                <c:pt idx="28">
                  <c:v>96825431.069599003</c:v>
                </c:pt>
                <c:pt idx="29">
                  <c:v>96026088.093327001</c:v>
                </c:pt>
                <c:pt idx="30">
                  <c:v>95227654.330935001</c:v>
                </c:pt>
                <c:pt idx="31">
                  <c:v>94429957.581724003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4-49C5-BFE1-283434AC1C01}"/>
            </c:ext>
          </c:extLst>
        </c:ser>
        <c:ser>
          <c:idx val="1"/>
          <c:order val="1"/>
          <c:tx>
            <c:strRef>
              <c:f>'Transportation Energy'!$B$54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Energy'!$C$54:$AH$54</c:f>
              <c:numCache>
                <c:formatCode>General</c:formatCode>
                <c:ptCount val="32"/>
                <c:pt idx="0">
                  <c:v>119614708.408329</c:v>
                </c:pt>
                <c:pt idx="1">
                  <c:v>124773412.87909</c:v>
                </c:pt>
                <c:pt idx="2">
                  <c:v>120378131.956333</c:v>
                </c:pt>
                <c:pt idx="3">
                  <c:v>116145941.96645799</c:v>
                </c:pt>
                <c:pt idx="4">
                  <c:v>111558820.03638101</c:v>
                </c:pt>
                <c:pt idx="5">
                  <c:v>105665948.221424</c:v>
                </c:pt>
                <c:pt idx="6">
                  <c:v>92924011.332566991</c:v>
                </c:pt>
                <c:pt idx="7">
                  <c:v>85575952.730646998</c:v>
                </c:pt>
                <c:pt idx="8">
                  <c:v>77461322.421677992</c:v>
                </c:pt>
                <c:pt idx="9">
                  <c:v>69489197.304150999</c:v>
                </c:pt>
                <c:pt idx="10">
                  <c:v>62143757.207393013</c:v>
                </c:pt>
                <c:pt idx="11">
                  <c:v>56191586.259318002</c:v>
                </c:pt>
                <c:pt idx="12">
                  <c:v>51932080.595160998</c:v>
                </c:pt>
                <c:pt idx="13">
                  <c:v>48588563.311085999</c:v>
                </c:pt>
                <c:pt idx="14">
                  <c:v>45645887.273581013</c:v>
                </c:pt>
                <c:pt idx="15">
                  <c:v>42100467.603777997</c:v>
                </c:pt>
                <c:pt idx="16">
                  <c:v>39500784.315098003</c:v>
                </c:pt>
                <c:pt idx="17">
                  <c:v>36892238.616924003</c:v>
                </c:pt>
                <c:pt idx="18">
                  <c:v>34248276.920702003</c:v>
                </c:pt>
                <c:pt idx="19">
                  <c:v>31759741.558148</c:v>
                </c:pt>
                <c:pt idx="20">
                  <c:v>29738719.367265999</c:v>
                </c:pt>
                <c:pt idx="21">
                  <c:v>27954840.43313</c:v>
                </c:pt>
                <c:pt idx="22">
                  <c:v>26649342.414839</c:v>
                </c:pt>
                <c:pt idx="23">
                  <c:v>25452523.742541</c:v>
                </c:pt>
                <c:pt idx="24">
                  <c:v>24409718.194927</c:v>
                </c:pt>
                <c:pt idx="25">
                  <c:v>23544898.516617998</c:v>
                </c:pt>
                <c:pt idx="26">
                  <c:v>22857887.79958</c:v>
                </c:pt>
                <c:pt idx="27">
                  <c:v>22331746.372928001</c:v>
                </c:pt>
                <c:pt idx="28">
                  <c:v>21967831.127562001</c:v>
                </c:pt>
                <c:pt idx="29">
                  <c:v>21748603.449549999</c:v>
                </c:pt>
                <c:pt idx="30">
                  <c:v>21645304.355533</c:v>
                </c:pt>
                <c:pt idx="31">
                  <c:v>21612246.007883999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4-49C5-BFE1-283434AC1C01}"/>
            </c:ext>
          </c:extLst>
        </c:ser>
        <c:ser>
          <c:idx val="2"/>
          <c:order val="2"/>
          <c:tx>
            <c:strRef>
              <c:f>'Transportation Energy'!$B$56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Energy'!$C$56:$AH$56</c:f>
              <c:numCache>
                <c:formatCode>General</c:formatCode>
                <c:ptCount val="32"/>
                <c:pt idx="0">
                  <c:v>113751015.381651</c:v>
                </c:pt>
                <c:pt idx="1">
                  <c:v>120516032.87709799</c:v>
                </c:pt>
                <c:pt idx="2">
                  <c:v>119889021.609377</c:v>
                </c:pt>
                <c:pt idx="3">
                  <c:v>115925287.729177</c:v>
                </c:pt>
                <c:pt idx="4">
                  <c:v>113375374.661901</c:v>
                </c:pt>
                <c:pt idx="5">
                  <c:v>107882008.37329499</c:v>
                </c:pt>
                <c:pt idx="6">
                  <c:v>99297034.638347</c:v>
                </c:pt>
                <c:pt idx="7">
                  <c:v>92979994.436992988</c:v>
                </c:pt>
                <c:pt idx="8">
                  <c:v>86359225.34691</c:v>
                </c:pt>
                <c:pt idx="9">
                  <c:v>79136786.396361992</c:v>
                </c:pt>
                <c:pt idx="10">
                  <c:v>72146341.683584005</c:v>
                </c:pt>
                <c:pt idx="11">
                  <c:v>66519378.040803999</c:v>
                </c:pt>
                <c:pt idx="12">
                  <c:v>61502030.192247987</c:v>
                </c:pt>
                <c:pt idx="13">
                  <c:v>57355366.851236999</c:v>
                </c:pt>
                <c:pt idx="14">
                  <c:v>53727010.429868013</c:v>
                </c:pt>
                <c:pt idx="15">
                  <c:v>49369921.377237998</c:v>
                </c:pt>
                <c:pt idx="16">
                  <c:v>46067993.273452997</c:v>
                </c:pt>
                <c:pt idx="17">
                  <c:v>42830767.771003999</c:v>
                </c:pt>
                <c:pt idx="18">
                  <c:v>39701830.348676987</c:v>
                </c:pt>
                <c:pt idx="19">
                  <c:v>36810716.973255001</c:v>
                </c:pt>
                <c:pt idx="20">
                  <c:v>34492267.045027003</c:v>
                </c:pt>
                <c:pt idx="21">
                  <c:v>32442373.182287998</c:v>
                </c:pt>
                <c:pt idx="22">
                  <c:v>30973163.177646</c:v>
                </c:pt>
                <c:pt idx="23">
                  <c:v>29620866.040950999</c:v>
                </c:pt>
                <c:pt idx="24">
                  <c:v>28436500.932985</c:v>
                </c:pt>
                <c:pt idx="25">
                  <c:v>27447493.302894998</c:v>
                </c:pt>
                <c:pt idx="26">
                  <c:v>26652896.396703001</c:v>
                </c:pt>
                <c:pt idx="27">
                  <c:v>26042289.389031999</c:v>
                </c:pt>
                <c:pt idx="28">
                  <c:v>25613500.587338001</c:v>
                </c:pt>
                <c:pt idx="29">
                  <c:v>25344450.216743998</c:v>
                </c:pt>
                <c:pt idx="30">
                  <c:v>25203036.506115001</c:v>
                </c:pt>
                <c:pt idx="31">
                  <c:v>25141829.382681999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4-49C5-BFE1-283434AC1C01}"/>
            </c:ext>
          </c:extLst>
        </c:ser>
        <c:ser>
          <c:idx val="3"/>
          <c:order val="3"/>
          <c:tx>
            <c:strRef>
              <c:f>'Transportation Energy'!$B$57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Energy'!$C$57:$AH$57</c:f>
              <c:numCache>
                <c:formatCode>General</c:formatCode>
                <c:ptCount val="32"/>
                <c:pt idx="0">
                  <c:v>3883223.0108770002</c:v>
                </c:pt>
                <c:pt idx="1">
                  <c:v>3883223.0090780002</c:v>
                </c:pt>
                <c:pt idx="2">
                  <c:v>3842672.1604160001</c:v>
                </c:pt>
                <c:pt idx="3">
                  <c:v>3802121.6973910001</c:v>
                </c:pt>
                <c:pt idx="4">
                  <c:v>3761571.0722400001</c:v>
                </c:pt>
                <c:pt idx="5">
                  <c:v>3721020.1888890001</c:v>
                </c:pt>
                <c:pt idx="6">
                  <c:v>3680469.5336440001</c:v>
                </c:pt>
                <c:pt idx="7">
                  <c:v>3639918.9100919999</c:v>
                </c:pt>
                <c:pt idx="8">
                  <c:v>3599368.252049</c:v>
                </c:pt>
                <c:pt idx="9">
                  <c:v>3558817.4043859998</c:v>
                </c:pt>
                <c:pt idx="10">
                  <c:v>3518266.7126560002</c:v>
                </c:pt>
                <c:pt idx="11">
                  <c:v>3477716.0867050001</c:v>
                </c:pt>
                <c:pt idx="12">
                  <c:v>3437165.4310610001</c:v>
                </c:pt>
                <c:pt idx="13">
                  <c:v>3396614.773819</c:v>
                </c:pt>
                <c:pt idx="14">
                  <c:v>3356063.9237589999</c:v>
                </c:pt>
                <c:pt idx="15">
                  <c:v>3315513.2665169998</c:v>
                </c:pt>
                <c:pt idx="16">
                  <c:v>3274962.8349830001</c:v>
                </c:pt>
                <c:pt idx="17">
                  <c:v>3234411.9536299999</c:v>
                </c:pt>
                <c:pt idx="18">
                  <c:v>3193861.1035679998</c:v>
                </c:pt>
                <c:pt idx="19">
                  <c:v>3153310.6720349998</c:v>
                </c:pt>
                <c:pt idx="20">
                  <c:v>3153310.6736329999</c:v>
                </c:pt>
                <c:pt idx="21">
                  <c:v>3153310.6720349998</c:v>
                </c:pt>
                <c:pt idx="22">
                  <c:v>3153310.6720349998</c:v>
                </c:pt>
                <c:pt idx="23">
                  <c:v>3153310.6720349998</c:v>
                </c:pt>
                <c:pt idx="24">
                  <c:v>3153310.6736329999</c:v>
                </c:pt>
                <c:pt idx="25">
                  <c:v>3153310.6736329999</c:v>
                </c:pt>
                <c:pt idx="26">
                  <c:v>3153310.6720349998</c:v>
                </c:pt>
                <c:pt idx="27">
                  <c:v>3153310.6720349998</c:v>
                </c:pt>
                <c:pt idx="28">
                  <c:v>3153310.6736329999</c:v>
                </c:pt>
                <c:pt idx="29">
                  <c:v>3153310.6720349998</c:v>
                </c:pt>
                <c:pt idx="30">
                  <c:v>3153310.6720349998</c:v>
                </c:pt>
                <c:pt idx="31">
                  <c:v>3153310.6720349998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14-49C5-BFE1-283434AC1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30001"/>
        <c:axId val="50830002"/>
      </c:areaChart>
      <c:catAx>
        <c:axId val="508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30002"/>
        <c:crosses val="autoZero"/>
        <c:auto val="1"/>
        <c:lblAlgn val="ctr"/>
        <c:lblOffset val="100"/>
        <c:tickLblSkip val="2"/>
        <c:noMultiLvlLbl val="0"/>
      </c:catAx>
      <c:valAx>
        <c:axId val="508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3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Energy'!$B$55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Energy'!$C$55,'Transportation Energy'!$AH$55)</c:f>
              <c:numCache>
                <c:formatCode>General</c:formatCode>
                <c:ptCount val="2"/>
                <c:pt idx="0">
                  <c:v>247762338.83683699</c:v>
                </c:pt>
                <c:pt idx="1">
                  <c:v>94429957.581724003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F-4B4D-A18A-2B4D84E837B5}"/>
            </c:ext>
          </c:extLst>
        </c:ser>
        <c:ser>
          <c:idx val="1"/>
          <c:order val="1"/>
          <c:tx>
            <c:strRef>
              <c:f>'Transportation Energy'!$B$54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Energy'!$C$54,'Transportation Energy'!$AH$54)</c:f>
              <c:numCache>
                <c:formatCode>General</c:formatCode>
                <c:ptCount val="2"/>
                <c:pt idx="0">
                  <c:v>119614708.408329</c:v>
                </c:pt>
                <c:pt idx="1">
                  <c:v>21612246.007883999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F-4B4D-A18A-2B4D84E837B5}"/>
            </c:ext>
          </c:extLst>
        </c:ser>
        <c:ser>
          <c:idx val="2"/>
          <c:order val="2"/>
          <c:tx>
            <c:strRef>
              <c:f>'Transportation Energy'!$B$56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Energy'!$C$56,'Transportation Energy'!$AH$56)</c:f>
              <c:numCache>
                <c:formatCode>General</c:formatCode>
                <c:ptCount val="2"/>
                <c:pt idx="0">
                  <c:v>113751015.381651</c:v>
                </c:pt>
                <c:pt idx="1">
                  <c:v>25141829.382681999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F-4B4D-A18A-2B4D84E837B5}"/>
            </c:ext>
          </c:extLst>
        </c:ser>
        <c:ser>
          <c:idx val="3"/>
          <c:order val="3"/>
          <c:tx>
            <c:strRef>
              <c:f>'Transportation Energy'!$B$57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Energy'!$C$57,'Transportation Energy'!$AH$57)</c:f>
              <c:numCache>
                <c:formatCode>General</c:formatCode>
                <c:ptCount val="2"/>
                <c:pt idx="0">
                  <c:v>3883223.0108770002</c:v>
                </c:pt>
                <c:pt idx="1">
                  <c:v>3153310.6720349998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F-4B4D-A18A-2B4D84E83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840001"/>
        <c:axId val="50840002"/>
      </c:barChart>
      <c:catAx>
        <c:axId val="508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40002"/>
        <c:crosses val="autoZero"/>
        <c:auto val="1"/>
        <c:lblAlgn val="ctr"/>
        <c:lblOffset val="100"/>
        <c:noMultiLvlLbl val="0"/>
      </c:catAx>
      <c:valAx>
        <c:axId val="508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4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Energy'!$B$60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Energy'!$C$60:$AH$60</c:f>
              <c:numCache>
                <c:formatCode>General</c:formatCode>
                <c:ptCount val="32"/>
                <c:pt idx="0">
                  <c:v>247762338.83683699</c:v>
                </c:pt>
                <c:pt idx="1">
                  <c:v>227455068.00186199</c:v>
                </c:pt>
                <c:pt idx="2">
                  <c:v>215704845.73983401</c:v>
                </c:pt>
                <c:pt idx="3">
                  <c:v>204531803.46288401</c:v>
                </c:pt>
                <c:pt idx="4">
                  <c:v>193906919.611963</c:v>
                </c:pt>
                <c:pt idx="5">
                  <c:v>183832152.295663</c:v>
                </c:pt>
                <c:pt idx="6">
                  <c:v>174438407.53272501</c:v>
                </c:pt>
                <c:pt idx="7">
                  <c:v>164912976.41868901</c:v>
                </c:pt>
                <c:pt idx="8">
                  <c:v>155988598.31325299</c:v>
                </c:pt>
                <c:pt idx="9">
                  <c:v>147883883.35150599</c:v>
                </c:pt>
                <c:pt idx="10">
                  <c:v>140541326.72455001</c:v>
                </c:pt>
                <c:pt idx="11">
                  <c:v>133932239.635006</c:v>
                </c:pt>
                <c:pt idx="12">
                  <c:v>127882832.768796</c:v>
                </c:pt>
                <c:pt idx="13">
                  <c:v>122429353.78747401</c:v>
                </c:pt>
                <c:pt idx="14">
                  <c:v>117489274.528588</c:v>
                </c:pt>
                <c:pt idx="15">
                  <c:v>112994352.00229099</c:v>
                </c:pt>
                <c:pt idx="16">
                  <c:v>108894097.407113</c:v>
                </c:pt>
                <c:pt idx="17">
                  <c:v>107363708.16632</c:v>
                </c:pt>
                <c:pt idx="18">
                  <c:v>105959498.56370001</c:v>
                </c:pt>
                <c:pt idx="19">
                  <c:v>104668500.86246599</c:v>
                </c:pt>
                <c:pt idx="20">
                  <c:v>103719909.519196</c:v>
                </c:pt>
                <c:pt idx="21">
                  <c:v>102816575.824494</c:v>
                </c:pt>
                <c:pt idx="22">
                  <c:v>101894831.926718</c:v>
                </c:pt>
                <c:pt idx="23">
                  <c:v>101001679.957451</c:v>
                </c:pt>
                <c:pt idx="24">
                  <c:v>100130617.04939</c:v>
                </c:pt>
                <c:pt idx="25">
                  <c:v>99275163.349205002</c:v>
                </c:pt>
                <c:pt idx="26">
                  <c:v>98429848.124771997</c:v>
                </c:pt>
                <c:pt idx="27">
                  <c:v>97626235.119203001</c:v>
                </c:pt>
                <c:pt idx="28">
                  <c:v>96825430.395039007</c:v>
                </c:pt>
                <c:pt idx="29">
                  <c:v>96026087.639998004</c:v>
                </c:pt>
                <c:pt idx="30">
                  <c:v>95227654.330935001</c:v>
                </c:pt>
                <c:pt idx="31">
                  <c:v>94429957.351503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D-404C-BCDC-860A253B84BB}"/>
            </c:ext>
          </c:extLst>
        </c:ser>
        <c:ser>
          <c:idx val="1"/>
          <c:order val="1"/>
          <c:tx>
            <c:strRef>
              <c:f>'Transportation Energy'!$B$59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Energy'!$C$59:$AH$59</c:f>
              <c:numCache>
                <c:formatCode>General</c:formatCode>
                <c:ptCount val="32"/>
                <c:pt idx="0">
                  <c:v>119614708.408329</c:v>
                </c:pt>
                <c:pt idx="1">
                  <c:v>124773412.87909</c:v>
                </c:pt>
                <c:pt idx="2">
                  <c:v>120378131.956333</c:v>
                </c:pt>
                <c:pt idx="3">
                  <c:v>116145941.96645799</c:v>
                </c:pt>
                <c:pt idx="4">
                  <c:v>111558820.02527601</c:v>
                </c:pt>
                <c:pt idx="5">
                  <c:v>105665948.241997</c:v>
                </c:pt>
                <c:pt idx="6">
                  <c:v>92924011.316313997</c:v>
                </c:pt>
                <c:pt idx="7">
                  <c:v>85575952.730646998</c:v>
                </c:pt>
                <c:pt idx="8">
                  <c:v>77461322.350368991</c:v>
                </c:pt>
                <c:pt idx="9">
                  <c:v>69489197.304150999</c:v>
                </c:pt>
                <c:pt idx="10">
                  <c:v>62143757.062914997</c:v>
                </c:pt>
                <c:pt idx="11">
                  <c:v>56191586.536810003</c:v>
                </c:pt>
                <c:pt idx="12">
                  <c:v>51932080.595161997</c:v>
                </c:pt>
                <c:pt idx="13">
                  <c:v>48588563.311085999</c:v>
                </c:pt>
                <c:pt idx="14">
                  <c:v>45645887.415235013</c:v>
                </c:pt>
                <c:pt idx="15">
                  <c:v>42100468.081666</c:v>
                </c:pt>
                <c:pt idx="16">
                  <c:v>39500784.315098003</c:v>
                </c:pt>
                <c:pt idx="17">
                  <c:v>36892238.616922997</c:v>
                </c:pt>
                <c:pt idx="18">
                  <c:v>34248276.920702003</c:v>
                </c:pt>
                <c:pt idx="19">
                  <c:v>31759741.332752999</c:v>
                </c:pt>
                <c:pt idx="20">
                  <c:v>29738719.006554998</c:v>
                </c:pt>
                <c:pt idx="21">
                  <c:v>27954840.813487999</c:v>
                </c:pt>
                <c:pt idx="22">
                  <c:v>26649342.549300998</c:v>
                </c:pt>
                <c:pt idx="23">
                  <c:v>25452523.601482999</c:v>
                </c:pt>
                <c:pt idx="24">
                  <c:v>24409717.462981999</c:v>
                </c:pt>
                <c:pt idx="25">
                  <c:v>23544897.914386999</c:v>
                </c:pt>
                <c:pt idx="26">
                  <c:v>22857887.799580999</c:v>
                </c:pt>
                <c:pt idx="27">
                  <c:v>22331746.997272</c:v>
                </c:pt>
                <c:pt idx="28">
                  <c:v>21967830.180941999</c:v>
                </c:pt>
                <c:pt idx="29">
                  <c:v>21748602.813629001</c:v>
                </c:pt>
                <c:pt idx="30">
                  <c:v>21645304.355533</c:v>
                </c:pt>
                <c:pt idx="31">
                  <c:v>21612245.686980002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D-404C-BCDC-860A253B84BB}"/>
            </c:ext>
          </c:extLst>
        </c:ser>
        <c:ser>
          <c:idx val="2"/>
          <c:order val="2"/>
          <c:tx>
            <c:strRef>
              <c:f>'Transportation Energy'!$B$61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Energy'!$C$61:$AH$61</c:f>
              <c:numCache>
                <c:formatCode>General</c:formatCode>
                <c:ptCount val="32"/>
                <c:pt idx="0">
                  <c:v>113751015.381651</c:v>
                </c:pt>
                <c:pt idx="1">
                  <c:v>120516032.87709799</c:v>
                </c:pt>
                <c:pt idx="2">
                  <c:v>119889021.609377</c:v>
                </c:pt>
                <c:pt idx="3">
                  <c:v>115925287.729177</c:v>
                </c:pt>
                <c:pt idx="4">
                  <c:v>113375374.644237</c:v>
                </c:pt>
                <c:pt idx="5">
                  <c:v>107882008.40263499</c:v>
                </c:pt>
                <c:pt idx="6">
                  <c:v>99297034.616999999</c:v>
                </c:pt>
                <c:pt idx="7">
                  <c:v>92979994.436992988</c:v>
                </c:pt>
                <c:pt idx="8">
                  <c:v>86359225.264683992</c:v>
                </c:pt>
                <c:pt idx="9">
                  <c:v>79136786.396361992</c:v>
                </c:pt>
                <c:pt idx="10">
                  <c:v>72146341.522748008</c:v>
                </c:pt>
                <c:pt idx="11">
                  <c:v>66519378.351044998</c:v>
                </c:pt>
                <c:pt idx="12">
                  <c:v>61502030.192249</c:v>
                </c:pt>
                <c:pt idx="13">
                  <c:v>57355366.851236999</c:v>
                </c:pt>
                <c:pt idx="14">
                  <c:v>53727010.590111002</c:v>
                </c:pt>
                <c:pt idx="15">
                  <c:v>49369921.918442003</c:v>
                </c:pt>
                <c:pt idx="16">
                  <c:v>46067993.273452997</c:v>
                </c:pt>
                <c:pt idx="17">
                  <c:v>42830767.771004997</c:v>
                </c:pt>
                <c:pt idx="18">
                  <c:v>39701830.348678</c:v>
                </c:pt>
                <c:pt idx="19">
                  <c:v>36810716.717168003</c:v>
                </c:pt>
                <c:pt idx="20">
                  <c:v>34492266.634191997</c:v>
                </c:pt>
                <c:pt idx="21">
                  <c:v>32442373.616308998</c:v>
                </c:pt>
                <c:pt idx="22">
                  <c:v>30973163.331530999</c:v>
                </c:pt>
                <c:pt idx="23">
                  <c:v>29620865.879005998</c:v>
                </c:pt>
                <c:pt idx="24">
                  <c:v>28436500.089937001</c:v>
                </c:pt>
                <c:pt idx="25">
                  <c:v>27447492.607260998</c:v>
                </c:pt>
                <c:pt idx="26">
                  <c:v>26652896.396701999</c:v>
                </c:pt>
                <c:pt idx="27">
                  <c:v>26042290.113316</c:v>
                </c:pt>
                <c:pt idx="28">
                  <c:v>25613499.487498</c:v>
                </c:pt>
                <c:pt idx="29">
                  <c:v>25344449.477244999</c:v>
                </c:pt>
                <c:pt idx="30">
                  <c:v>25203036.506115001</c:v>
                </c:pt>
                <c:pt idx="31">
                  <c:v>25141829.00956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D-404C-BCDC-860A253B84BB}"/>
            </c:ext>
          </c:extLst>
        </c:ser>
        <c:ser>
          <c:idx val="3"/>
          <c:order val="3"/>
          <c:tx>
            <c:strRef>
              <c:f>'Transportation Energy'!$B$62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Energy'!$C$62:$AH$62</c:f>
              <c:numCache>
                <c:formatCode>General</c:formatCode>
                <c:ptCount val="32"/>
                <c:pt idx="0">
                  <c:v>3883223.0108770002</c:v>
                </c:pt>
                <c:pt idx="1">
                  <c:v>3883223.0090780002</c:v>
                </c:pt>
                <c:pt idx="2">
                  <c:v>3842672.1604160001</c:v>
                </c:pt>
                <c:pt idx="3">
                  <c:v>3802121.6973910001</c:v>
                </c:pt>
                <c:pt idx="4">
                  <c:v>3761571.0710410001</c:v>
                </c:pt>
                <c:pt idx="5">
                  <c:v>3721020.1904870002</c:v>
                </c:pt>
                <c:pt idx="6">
                  <c:v>3680469.5328449998</c:v>
                </c:pt>
                <c:pt idx="7">
                  <c:v>3639918.9100910001</c:v>
                </c:pt>
                <c:pt idx="8">
                  <c:v>3599368.2504509999</c:v>
                </c:pt>
                <c:pt idx="9">
                  <c:v>3558817.4043859998</c:v>
                </c:pt>
                <c:pt idx="10">
                  <c:v>3518266.7110580001</c:v>
                </c:pt>
                <c:pt idx="11">
                  <c:v>3477716.089102</c:v>
                </c:pt>
                <c:pt idx="12">
                  <c:v>3437165.4310610001</c:v>
                </c:pt>
                <c:pt idx="13">
                  <c:v>3396614.773819</c:v>
                </c:pt>
                <c:pt idx="14">
                  <c:v>3356063.9245580002</c:v>
                </c:pt>
                <c:pt idx="15">
                  <c:v>3315513.2689129999</c:v>
                </c:pt>
                <c:pt idx="16">
                  <c:v>3274962.8349830001</c:v>
                </c:pt>
                <c:pt idx="17">
                  <c:v>3234411.9536299999</c:v>
                </c:pt>
                <c:pt idx="18">
                  <c:v>3193861.1035679998</c:v>
                </c:pt>
                <c:pt idx="19">
                  <c:v>3153310.671236</c:v>
                </c:pt>
                <c:pt idx="20">
                  <c:v>3153310.672435001</c:v>
                </c:pt>
                <c:pt idx="21">
                  <c:v>3153310.673233001</c:v>
                </c:pt>
                <c:pt idx="22">
                  <c:v>3153310.6724339998</c:v>
                </c:pt>
                <c:pt idx="23">
                  <c:v>3153310.671635001</c:v>
                </c:pt>
                <c:pt idx="24">
                  <c:v>3153310.671635001</c:v>
                </c:pt>
                <c:pt idx="25">
                  <c:v>3153310.6720349998</c:v>
                </c:pt>
                <c:pt idx="26">
                  <c:v>3153310.6720349998</c:v>
                </c:pt>
                <c:pt idx="27">
                  <c:v>3153310.6736329999</c:v>
                </c:pt>
                <c:pt idx="28">
                  <c:v>3153310.671236</c:v>
                </c:pt>
                <c:pt idx="29">
                  <c:v>3153310.6704370002</c:v>
                </c:pt>
                <c:pt idx="30">
                  <c:v>3153310.6720349998</c:v>
                </c:pt>
                <c:pt idx="31">
                  <c:v>3153310.671236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9D-404C-BCDC-860A253B8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50001"/>
        <c:axId val="50850002"/>
      </c:areaChart>
      <c:catAx>
        <c:axId val="508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50002"/>
        <c:crosses val="autoZero"/>
        <c:auto val="1"/>
        <c:lblAlgn val="ctr"/>
        <c:lblOffset val="100"/>
        <c:tickLblSkip val="2"/>
        <c:noMultiLvlLbl val="0"/>
      </c:catAx>
      <c:valAx>
        <c:axId val="508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5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Energy'!$B$60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Energy'!$C$60,'Transportation Energy'!$AH$60)</c:f>
              <c:numCache>
                <c:formatCode>General</c:formatCode>
                <c:ptCount val="2"/>
                <c:pt idx="0">
                  <c:v>247762338.83683699</c:v>
                </c:pt>
                <c:pt idx="1">
                  <c:v>94429957.351503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7-4980-AEC0-D05B3BBCA9B9}"/>
            </c:ext>
          </c:extLst>
        </c:ser>
        <c:ser>
          <c:idx val="1"/>
          <c:order val="1"/>
          <c:tx>
            <c:strRef>
              <c:f>'Transportation Energy'!$B$59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Energy'!$C$59,'Transportation Energy'!$AH$59)</c:f>
              <c:numCache>
                <c:formatCode>General</c:formatCode>
                <c:ptCount val="2"/>
                <c:pt idx="0">
                  <c:v>119614708.408329</c:v>
                </c:pt>
                <c:pt idx="1">
                  <c:v>21612245.686980002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F7-4980-AEC0-D05B3BBCA9B9}"/>
            </c:ext>
          </c:extLst>
        </c:ser>
        <c:ser>
          <c:idx val="2"/>
          <c:order val="2"/>
          <c:tx>
            <c:strRef>
              <c:f>'Transportation Energy'!$B$61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Energy'!$C$61,'Transportation Energy'!$AH$61)</c:f>
              <c:numCache>
                <c:formatCode>General</c:formatCode>
                <c:ptCount val="2"/>
                <c:pt idx="0">
                  <c:v>113751015.381651</c:v>
                </c:pt>
                <c:pt idx="1">
                  <c:v>25141829.00956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F7-4980-AEC0-D05B3BBCA9B9}"/>
            </c:ext>
          </c:extLst>
        </c:ser>
        <c:ser>
          <c:idx val="3"/>
          <c:order val="3"/>
          <c:tx>
            <c:strRef>
              <c:f>'Transportation Energy'!$B$62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Energy'!$C$62,'Transportation Energy'!$AH$62)</c:f>
              <c:numCache>
                <c:formatCode>General</c:formatCode>
                <c:ptCount val="2"/>
                <c:pt idx="0">
                  <c:v>3883223.0108770002</c:v>
                </c:pt>
                <c:pt idx="1">
                  <c:v>3153310.671236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F7-4980-AEC0-D05B3BBCA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860001"/>
        <c:axId val="50860002"/>
      </c:barChart>
      <c:catAx>
        <c:axId val="508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60002"/>
        <c:crosses val="autoZero"/>
        <c:auto val="1"/>
        <c:lblAlgn val="ctr"/>
        <c:lblOffset val="100"/>
        <c:noMultiLvlLbl val="0"/>
      </c:catAx>
      <c:valAx>
        <c:axId val="508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6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Energy'!$B$65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Energy'!$C$65:$AH$65</c:f>
              <c:numCache>
                <c:formatCode>General</c:formatCode>
                <c:ptCount val="32"/>
                <c:pt idx="0">
                  <c:v>247762338.83683699</c:v>
                </c:pt>
                <c:pt idx="1">
                  <c:v>227078649.54704401</c:v>
                </c:pt>
                <c:pt idx="2">
                  <c:v>219703666.48671299</c:v>
                </c:pt>
                <c:pt idx="3">
                  <c:v>212538860.22265899</c:v>
                </c:pt>
                <c:pt idx="4">
                  <c:v>205566330.622958</c:v>
                </c:pt>
                <c:pt idx="5">
                  <c:v>198801168.64114499</c:v>
                </c:pt>
                <c:pt idx="6">
                  <c:v>192401636.74151999</c:v>
                </c:pt>
                <c:pt idx="7">
                  <c:v>185478932.40041399</c:v>
                </c:pt>
                <c:pt idx="8">
                  <c:v>178843599.67136499</c:v>
                </c:pt>
                <c:pt idx="9">
                  <c:v>172774545.018123</c:v>
                </c:pt>
                <c:pt idx="10">
                  <c:v>167242925.22453001</c:v>
                </c:pt>
                <c:pt idx="11">
                  <c:v>162253092.21603799</c:v>
                </c:pt>
                <c:pt idx="12">
                  <c:v>157628129.54520699</c:v>
                </c:pt>
                <c:pt idx="13">
                  <c:v>153438319.07936701</c:v>
                </c:pt>
                <c:pt idx="14">
                  <c:v>149604348.15246999</c:v>
                </c:pt>
                <c:pt idx="15">
                  <c:v>146057916.91294</c:v>
                </c:pt>
                <c:pt idx="16">
                  <c:v>142748383.54087999</c:v>
                </c:pt>
                <c:pt idx="17">
                  <c:v>139637012.84402299</c:v>
                </c:pt>
                <c:pt idx="18">
                  <c:v>136703682.71078801</c:v>
                </c:pt>
                <c:pt idx="19">
                  <c:v>133928308.348658</c:v>
                </c:pt>
                <c:pt idx="20">
                  <c:v>132760494.58438499</c:v>
                </c:pt>
                <c:pt idx="21">
                  <c:v>131646135.370635</c:v>
                </c:pt>
                <c:pt idx="22">
                  <c:v>130502885.00901499</c:v>
                </c:pt>
                <c:pt idx="23">
                  <c:v>129390339.655285</c:v>
                </c:pt>
                <c:pt idx="24">
                  <c:v>128299782.04696301</c:v>
                </c:pt>
                <c:pt idx="25">
                  <c:v>127222588.02054501</c:v>
                </c:pt>
                <c:pt idx="26">
                  <c:v>126151569.053599</c:v>
                </c:pt>
                <c:pt idx="27">
                  <c:v>125127045.616831</c:v>
                </c:pt>
                <c:pt idx="28">
                  <c:v>124099094.15575001</c:v>
                </c:pt>
                <c:pt idx="29">
                  <c:v>123065911.800833</c:v>
                </c:pt>
                <c:pt idx="30">
                  <c:v>122026728.55734</c:v>
                </c:pt>
                <c:pt idx="31">
                  <c:v>120981261.300814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2-4C96-AC55-73A70870794F}"/>
            </c:ext>
          </c:extLst>
        </c:ser>
        <c:ser>
          <c:idx val="1"/>
          <c:order val="1"/>
          <c:tx>
            <c:strRef>
              <c:f>'Transportation Energy'!$B$64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Energy'!$C$64:$AH$64</c:f>
              <c:numCache>
                <c:formatCode>General</c:formatCode>
                <c:ptCount val="32"/>
                <c:pt idx="0">
                  <c:v>119614708.408329</c:v>
                </c:pt>
                <c:pt idx="1">
                  <c:v>124773412.877569</c:v>
                </c:pt>
                <c:pt idx="2">
                  <c:v>122825603.894298</c:v>
                </c:pt>
                <c:pt idx="3">
                  <c:v>120911920.510462</c:v>
                </c:pt>
                <c:pt idx="4">
                  <c:v>118495467.68948001</c:v>
                </c:pt>
                <c:pt idx="5">
                  <c:v>114538847.048098</c:v>
                </c:pt>
                <c:pt idx="6">
                  <c:v>102789968.083537</c:v>
                </c:pt>
                <c:pt idx="7">
                  <c:v>96619849.799078003</c:v>
                </c:pt>
                <c:pt idx="8">
                  <c:v>89266600.466230989</c:v>
                </c:pt>
                <c:pt idx="9">
                  <c:v>81738658.441573992</c:v>
                </c:pt>
                <c:pt idx="10">
                  <c:v>74619342.705048993</c:v>
                </c:pt>
                <c:pt idx="11">
                  <c:v>68881903.155320004</c:v>
                </c:pt>
                <c:pt idx="12">
                  <c:v>64992412.680214003</c:v>
                </c:pt>
                <c:pt idx="13">
                  <c:v>62085154.747992001</c:v>
                </c:pt>
                <c:pt idx="14">
                  <c:v>59555253.398653999</c:v>
                </c:pt>
                <c:pt idx="15">
                  <c:v>56106661.932654999</c:v>
                </c:pt>
                <c:pt idx="16">
                  <c:v>53764122.885900997</c:v>
                </c:pt>
                <c:pt idx="17">
                  <c:v>51059308.896652997</c:v>
                </c:pt>
                <c:pt idx="18">
                  <c:v>48201365.005300999</c:v>
                </c:pt>
                <c:pt idx="19">
                  <c:v>45454209.152606003</c:v>
                </c:pt>
                <c:pt idx="20">
                  <c:v>43274926.496521004</c:v>
                </c:pt>
                <c:pt idx="21">
                  <c:v>41353578.799078003</c:v>
                </c:pt>
                <c:pt idx="22">
                  <c:v>39475841.042190999</c:v>
                </c:pt>
                <c:pt idx="23">
                  <c:v>37752302.294621997</c:v>
                </c:pt>
                <c:pt idx="24">
                  <c:v>36251812.419771999</c:v>
                </c:pt>
                <c:pt idx="25">
                  <c:v>35011725.196542993</c:v>
                </c:pt>
                <c:pt idx="26">
                  <c:v>34033376.585643999</c:v>
                </c:pt>
                <c:pt idx="27">
                  <c:v>33294002.528193001</c:v>
                </c:pt>
                <c:pt idx="28">
                  <c:v>32794926.619408999</c:v>
                </c:pt>
                <c:pt idx="29">
                  <c:v>32510540.512354001</c:v>
                </c:pt>
                <c:pt idx="30">
                  <c:v>32398744.634185001</c:v>
                </c:pt>
                <c:pt idx="31">
                  <c:v>32392346.112188999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2-4C96-AC55-73A70870794F}"/>
            </c:ext>
          </c:extLst>
        </c:ser>
        <c:ser>
          <c:idx val="2"/>
          <c:order val="2"/>
          <c:tx>
            <c:strRef>
              <c:f>'Transportation Energy'!$B$66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Energy'!$C$66:$AH$66</c:f>
              <c:numCache>
                <c:formatCode>General</c:formatCode>
                <c:ptCount val="32"/>
                <c:pt idx="0">
                  <c:v>113751015.381651</c:v>
                </c:pt>
                <c:pt idx="1">
                  <c:v>120516032.87448999</c:v>
                </c:pt>
                <c:pt idx="2">
                  <c:v>122359728.749016</c:v>
                </c:pt>
                <c:pt idx="3">
                  <c:v>120755284.7968</c:v>
                </c:pt>
                <c:pt idx="4">
                  <c:v>120543478.14167801</c:v>
                </c:pt>
                <c:pt idx="5">
                  <c:v>117111001.073653</c:v>
                </c:pt>
                <c:pt idx="6">
                  <c:v>110073266.02913301</c:v>
                </c:pt>
                <c:pt idx="7">
                  <c:v>105268629.363755</c:v>
                </c:pt>
                <c:pt idx="8">
                  <c:v>99870430.368995994</c:v>
                </c:pt>
                <c:pt idx="9">
                  <c:v>93495355.251060992</c:v>
                </c:pt>
                <c:pt idx="10">
                  <c:v>87090913.191992998</c:v>
                </c:pt>
                <c:pt idx="11">
                  <c:v>82051332.762758002</c:v>
                </c:pt>
                <c:pt idx="12">
                  <c:v>77528599.685928002</c:v>
                </c:pt>
                <c:pt idx="13">
                  <c:v>73897178.576437995</c:v>
                </c:pt>
                <c:pt idx="14">
                  <c:v>70749337.591899008</c:v>
                </c:pt>
                <c:pt idx="15">
                  <c:v>66467202.501400001</c:v>
                </c:pt>
                <c:pt idx="16">
                  <c:v>63408108.709790006</c:v>
                </c:pt>
                <c:pt idx="17">
                  <c:v>59994068.333760001</c:v>
                </c:pt>
                <c:pt idx="18">
                  <c:v>56597063.342037998</c:v>
                </c:pt>
                <c:pt idx="19">
                  <c:v>53405066.923</c:v>
                </c:pt>
                <c:pt idx="20">
                  <c:v>50920079.829245999</c:v>
                </c:pt>
                <c:pt idx="21">
                  <c:v>48727953.510530002</c:v>
                </c:pt>
                <c:pt idx="22">
                  <c:v>46590350.199355997</c:v>
                </c:pt>
                <c:pt idx="23">
                  <c:v>44622236.368183002</c:v>
                </c:pt>
                <c:pt idx="24">
                  <c:v>42901560.998839997</c:v>
                </c:pt>
                <c:pt idx="25">
                  <c:v>41470952.954148002</c:v>
                </c:pt>
                <c:pt idx="26">
                  <c:v>40330376.822172001</c:v>
                </c:pt>
                <c:pt idx="27">
                  <c:v>39466004.363596</c:v>
                </c:pt>
                <c:pt idx="28">
                  <c:v>38874247.829216003</c:v>
                </c:pt>
                <c:pt idx="29">
                  <c:v>38522365.425159</c:v>
                </c:pt>
                <c:pt idx="30">
                  <c:v>38362790.075903997</c:v>
                </c:pt>
                <c:pt idx="31">
                  <c:v>38324527.394377999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F2-4C96-AC55-73A70870794F}"/>
            </c:ext>
          </c:extLst>
        </c:ser>
        <c:ser>
          <c:idx val="3"/>
          <c:order val="3"/>
          <c:tx>
            <c:strRef>
              <c:f>'Transportation Energy'!$B$67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Energy'!$C$67:$AH$67</c:f>
              <c:numCache>
                <c:formatCode>General</c:formatCode>
                <c:ptCount val="32"/>
                <c:pt idx="0">
                  <c:v>3883223.0108770002</c:v>
                </c:pt>
                <c:pt idx="1">
                  <c:v>3883223.008779</c:v>
                </c:pt>
                <c:pt idx="2">
                  <c:v>3842672.1623129998</c:v>
                </c:pt>
                <c:pt idx="3">
                  <c:v>3802121.697191</c:v>
                </c:pt>
                <c:pt idx="4">
                  <c:v>3761571.071641</c:v>
                </c:pt>
                <c:pt idx="5">
                  <c:v>3721020.189888</c:v>
                </c:pt>
                <c:pt idx="6">
                  <c:v>3680469.532046</c:v>
                </c:pt>
                <c:pt idx="7">
                  <c:v>3639918.906895</c:v>
                </c:pt>
                <c:pt idx="8">
                  <c:v>3599368.2504509999</c:v>
                </c:pt>
                <c:pt idx="9">
                  <c:v>3558817.4011900001</c:v>
                </c:pt>
                <c:pt idx="10">
                  <c:v>3518266.7126560002</c:v>
                </c:pt>
                <c:pt idx="11">
                  <c:v>3477716.0867059999</c:v>
                </c:pt>
                <c:pt idx="12">
                  <c:v>3437165.4326590002</c:v>
                </c:pt>
                <c:pt idx="13">
                  <c:v>3396614.773819</c:v>
                </c:pt>
                <c:pt idx="14">
                  <c:v>3356063.925357</c:v>
                </c:pt>
                <c:pt idx="15">
                  <c:v>3315513.2689129999</c:v>
                </c:pt>
                <c:pt idx="16">
                  <c:v>3274962.8349830001</c:v>
                </c:pt>
                <c:pt idx="17">
                  <c:v>3234411.9536310001</c:v>
                </c:pt>
                <c:pt idx="18">
                  <c:v>3193861.1051659998</c:v>
                </c:pt>
                <c:pt idx="19">
                  <c:v>3153310.672036001</c:v>
                </c:pt>
                <c:pt idx="20">
                  <c:v>3153310.6720349998</c:v>
                </c:pt>
                <c:pt idx="21">
                  <c:v>3153310.6704370002</c:v>
                </c:pt>
                <c:pt idx="22">
                  <c:v>3153310.6704370002</c:v>
                </c:pt>
                <c:pt idx="23">
                  <c:v>3153310.6720349998</c:v>
                </c:pt>
                <c:pt idx="24">
                  <c:v>3153310.6704370002</c:v>
                </c:pt>
                <c:pt idx="25">
                  <c:v>3153310.6736329999</c:v>
                </c:pt>
                <c:pt idx="26">
                  <c:v>3153310.6720349998</c:v>
                </c:pt>
                <c:pt idx="27">
                  <c:v>3153310.6720349998</c:v>
                </c:pt>
                <c:pt idx="28">
                  <c:v>3153310.6704370002</c:v>
                </c:pt>
                <c:pt idx="29">
                  <c:v>3153310.6704370002</c:v>
                </c:pt>
                <c:pt idx="30">
                  <c:v>3153310.6720349998</c:v>
                </c:pt>
                <c:pt idx="31">
                  <c:v>3153310.6720349998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F2-4C96-AC55-73A708707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70001"/>
        <c:axId val="50870002"/>
      </c:areaChart>
      <c:catAx>
        <c:axId val="508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70002"/>
        <c:crosses val="autoZero"/>
        <c:auto val="1"/>
        <c:lblAlgn val="ctr"/>
        <c:lblOffset val="100"/>
        <c:tickLblSkip val="2"/>
        <c:noMultiLvlLbl val="0"/>
      </c:catAx>
      <c:valAx>
        <c:axId val="508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7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Energy'!$B$65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Energy'!$C$65,'Transportation Energy'!$AH$65)</c:f>
              <c:numCache>
                <c:formatCode>General</c:formatCode>
                <c:ptCount val="2"/>
                <c:pt idx="0">
                  <c:v>247762338.83683699</c:v>
                </c:pt>
                <c:pt idx="1">
                  <c:v>120981261.300814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9-4F8A-A9E3-9AB8CCBD40E1}"/>
            </c:ext>
          </c:extLst>
        </c:ser>
        <c:ser>
          <c:idx val="1"/>
          <c:order val="1"/>
          <c:tx>
            <c:strRef>
              <c:f>'Transportation Energy'!$B$64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Energy'!$C$64,'Transportation Energy'!$AH$64)</c:f>
              <c:numCache>
                <c:formatCode>General</c:formatCode>
                <c:ptCount val="2"/>
                <c:pt idx="0">
                  <c:v>119614708.408329</c:v>
                </c:pt>
                <c:pt idx="1">
                  <c:v>32392346.112188999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59-4F8A-A9E3-9AB8CCBD40E1}"/>
            </c:ext>
          </c:extLst>
        </c:ser>
        <c:ser>
          <c:idx val="2"/>
          <c:order val="2"/>
          <c:tx>
            <c:strRef>
              <c:f>'Transportation Energy'!$B$66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Energy'!$C$66,'Transportation Energy'!$AH$66)</c:f>
              <c:numCache>
                <c:formatCode>General</c:formatCode>
                <c:ptCount val="2"/>
                <c:pt idx="0">
                  <c:v>113751015.381651</c:v>
                </c:pt>
                <c:pt idx="1">
                  <c:v>38324527.394377999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59-4F8A-A9E3-9AB8CCBD40E1}"/>
            </c:ext>
          </c:extLst>
        </c:ser>
        <c:ser>
          <c:idx val="3"/>
          <c:order val="3"/>
          <c:tx>
            <c:strRef>
              <c:f>'Transportation Energy'!$B$67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Energy'!$C$67,'Transportation Energy'!$AH$67)</c:f>
              <c:numCache>
                <c:formatCode>General</c:formatCode>
                <c:ptCount val="2"/>
                <c:pt idx="0">
                  <c:v>3883223.0108770002</c:v>
                </c:pt>
                <c:pt idx="1">
                  <c:v>3153310.6720349998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59-4F8A-A9E3-9AB8CCBD4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880001"/>
        <c:axId val="50880002"/>
      </c:barChart>
      <c:catAx>
        <c:axId val="508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80002"/>
        <c:crosses val="autoZero"/>
        <c:auto val="1"/>
        <c:lblAlgn val="ctr"/>
        <c:lblOffset val="100"/>
        <c:noMultiLvlLbl val="0"/>
      </c:catAx>
      <c:valAx>
        <c:axId val="508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8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Energy'!$B$70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Energy'!$C$70:$AH$70</c:f>
              <c:numCache>
                <c:formatCode>General</c:formatCode>
                <c:ptCount val="32"/>
                <c:pt idx="0">
                  <c:v>247762338.83683699</c:v>
                </c:pt>
                <c:pt idx="1">
                  <c:v>228537778.456175</c:v>
                </c:pt>
                <c:pt idx="2">
                  <c:v>226062678.52679399</c:v>
                </c:pt>
                <c:pt idx="3">
                  <c:v>223573722.79473099</c:v>
                </c:pt>
                <c:pt idx="4">
                  <c:v>221054322.09354001</c:v>
                </c:pt>
                <c:pt idx="5">
                  <c:v>218521944.14504701</c:v>
                </c:pt>
                <c:pt idx="6">
                  <c:v>216161955.04734999</c:v>
                </c:pt>
                <c:pt idx="7">
                  <c:v>212967556.92756</c:v>
                </c:pt>
                <c:pt idx="8">
                  <c:v>209838963.49907199</c:v>
                </c:pt>
                <c:pt idx="9">
                  <c:v>207135275.67700201</c:v>
                </c:pt>
                <c:pt idx="10">
                  <c:v>204859042.63135701</c:v>
                </c:pt>
                <c:pt idx="11">
                  <c:v>203053493.73435599</c:v>
                </c:pt>
                <c:pt idx="12">
                  <c:v>201531854.37572399</c:v>
                </c:pt>
                <c:pt idx="13">
                  <c:v>200410801.315483</c:v>
                </c:pt>
                <c:pt idx="14">
                  <c:v>199615118.40536499</c:v>
                </c:pt>
                <c:pt idx="15">
                  <c:v>199075847.987418</c:v>
                </c:pt>
                <c:pt idx="16">
                  <c:v>198741340.11718899</c:v>
                </c:pt>
                <c:pt idx="17">
                  <c:v>198572289.84371099</c:v>
                </c:pt>
                <c:pt idx="18">
                  <c:v>198551279.76154301</c:v>
                </c:pt>
                <c:pt idx="19">
                  <c:v>198659126.97154599</c:v>
                </c:pt>
                <c:pt idx="20">
                  <c:v>198877126.62344599</c:v>
                </c:pt>
                <c:pt idx="21">
                  <c:v>199188378.80095699</c:v>
                </c:pt>
                <c:pt idx="22">
                  <c:v>199468974.13966399</c:v>
                </c:pt>
                <c:pt idx="23">
                  <c:v>199808740.09515101</c:v>
                </c:pt>
                <c:pt idx="24">
                  <c:v>200194885.799844</c:v>
                </c:pt>
                <c:pt idx="25">
                  <c:v>200613862.164837</c:v>
                </c:pt>
                <c:pt idx="26">
                  <c:v>201053850.68411899</c:v>
                </c:pt>
                <c:pt idx="27">
                  <c:v>201579332.410218</c:v>
                </c:pt>
                <c:pt idx="28">
                  <c:v>202110980.694626</c:v>
                </c:pt>
                <c:pt idx="29">
                  <c:v>202645575.50427699</c:v>
                </c:pt>
                <c:pt idx="30">
                  <c:v>203181709.76589599</c:v>
                </c:pt>
                <c:pt idx="31">
                  <c:v>203718905.37431601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2-4844-8822-24A252BAD80A}"/>
            </c:ext>
          </c:extLst>
        </c:ser>
        <c:ser>
          <c:idx val="1"/>
          <c:order val="1"/>
          <c:tx>
            <c:strRef>
              <c:f>'Transportation Energy'!$B$69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Energy'!$C$69:$AH$69</c:f>
              <c:numCache>
                <c:formatCode>General</c:formatCode>
                <c:ptCount val="32"/>
                <c:pt idx="0">
                  <c:v>119614708.408329</c:v>
                </c:pt>
                <c:pt idx="1">
                  <c:v>124773412.64591999</c:v>
                </c:pt>
                <c:pt idx="2">
                  <c:v>124206742.59431601</c:v>
                </c:pt>
                <c:pt idx="3">
                  <c:v>123696038.110496</c:v>
                </c:pt>
                <c:pt idx="4">
                  <c:v>122738432.142758</c:v>
                </c:pt>
                <c:pt idx="5">
                  <c:v>120945809.490996</c:v>
                </c:pt>
                <c:pt idx="6">
                  <c:v>111030039.86690401</c:v>
                </c:pt>
                <c:pt idx="7">
                  <c:v>107045739.205531</c:v>
                </c:pt>
                <c:pt idx="8">
                  <c:v>102210385.91589101</c:v>
                </c:pt>
                <c:pt idx="9">
                  <c:v>97571228.254133999</c:v>
                </c:pt>
                <c:pt idx="10">
                  <c:v>93531447.220109001</c:v>
                </c:pt>
                <c:pt idx="11">
                  <c:v>91034559.089906991</c:v>
                </c:pt>
                <c:pt idx="12">
                  <c:v>90325359.952179998</c:v>
                </c:pt>
                <c:pt idx="13">
                  <c:v>90561233.232963994</c:v>
                </c:pt>
                <c:pt idx="14">
                  <c:v>91123239.932534993</c:v>
                </c:pt>
                <c:pt idx="15">
                  <c:v>90844510.822588995</c:v>
                </c:pt>
                <c:pt idx="16">
                  <c:v>91605149.341675997</c:v>
                </c:pt>
                <c:pt idx="17">
                  <c:v>91986310.280133992</c:v>
                </c:pt>
                <c:pt idx="18">
                  <c:v>92161333.841414005</c:v>
                </c:pt>
                <c:pt idx="19">
                  <c:v>92301893.908151999</c:v>
                </c:pt>
                <c:pt idx="20">
                  <c:v>92556056.375083014</c:v>
                </c:pt>
                <c:pt idx="21">
                  <c:v>92952316.629314005</c:v>
                </c:pt>
                <c:pt idx="22">
                  <c:v>93223679.977142006</c:v>
                </c:pt>
                <c:pt idx="23">
                  <c:v>93400756.993584007</c:v>
                </c:pt>
                <c:pt idx="24">
                  <c:v>93520351.737085998</c:v>
                </c:pt>
                <c:pt idx="25">
                  <c:v>93661739.282098994</c:v>
                </c:pt>
                <c:pt idx="26">
                  <c:v>93884577.932614014</c:v>
                </c:pt>
                <c:pt idx="27">
                  <c:v>94188864.067038</c:v>
                </c:pt>
                <c:pt idx="28">
                  <c:v>94644556.704128012</c:v>
                </c:pt>
                <c:pt idx="29">
                  <c:v>95268551.755357996</c:v>
                </c:pt>
                <c:pt idx="30">
                  <c:v>96046851.360544994</c:v>
                </c:pt>
                <c:pt idx="31">
                  <c:v>96900763.133591011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2-4844-8822-24A252BAD80A}"/>
            </c:ext>
          </c:extLst>
        </c:ser>
        <c:ser>
          <c:idx val="2"/>
          <c:order val="2"/>
          <c:tx>
            <c:strRef>
              <c:f>'Transportation Energy'!$B$71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Energy'!$C$71:$AH$71</c:f>
              <c:numCache>
                <c:formatCode>General</c:formatCode>
                <c:ptCount val="32"/>
                <c:pt idx="0">
                  <c:v>113751015.381651</c:v>
                </c:pt>
                <c:pt idx="1">
                  <c:v>120516033.118628</c:v>
                </c:pt>
                <c:pt idx="2">
                  <c:v>123732461.091243</c:v>
                </c:pt>
                <c:pt idx="3">
                  <c:v>123526143.90308701</c:v>
                </c:pt>
                <c:pt idx="4">
                  <c:v>124833871.333023</c:v>
                </c:pt>
                <c:pt idx="5">
                  <c:v>123613748.20164301</c:v>
                </c:pt>
                <c:pt idx="6">
                  <c:v>118758828.409903</c:v>
                </c:pt>
                <c:pt idx="7">
                  <c:v>116379192.37829401</c:v>
                </c:pt>
                <c:pt idx="8">
                  <c:v>113875437.419843</c:v>
                </c:pt>
                <c:pt idx="9">
                  <c:v>110812976.780508</c:v>
                </c:pt>
                <c:pt idx="10">
                  <c:v>107997884.05872101</c:v>
                </c:pt>
                <c:pt idx="11">
                  <c:v>106857577.750875</c:v>
                </c:pt>
                <c:pt idx="12">
                  <c:v>105995066.394991</c:v>
                </c:pt>
                <c:pt idx="13">
                  <c:v>105964051.705596</c:v>
                </c:pt>
                <c:pt idx="14">
                  <c:v>106355363.13206901</c:v>
                </c:pt>
                <c:pt idx="15">
                  <c:v>105632835.509183</c:v>
                </c:pt>
                <c:pt idx="16">
                  <c:v>106023523.24009199</c:v>
                </c:pt>
                <c:pt idx="17">
                  <c:v>106017309.42981701</c:v>
                </c:pt>
                <c:pt idx="18">
                  <c:v>106043285.81961501</c:v>
                </c:pt>
                <c:pt idx="19">
                  <c:v>106158308.29762</c:v>
                </c:pt>
                <c:pt idx="20">
                  <c:v>106494466.66114999</c:v>
                </c:pt>
                <c:pt idx="21">
                  <c:v>106987757.202179</c:v>
                </c:pt>
                <c:pt idx="22">
                  <c:v>107367872.062084</c:v>
                </c:pt>
                <c:pt idx="23">
                  <c:v>107659193.759284</c:v>
                </c:pt>
                <c:pt idx="24">
                  <c:v>107896066.824681</c:v>
                </c:pt>
                <c:pt idx="25">
                  <c:v>108145006.325001</c:v>
                </c:pt>
                <c:pt idx="26">
                  <c:v>108456245.202208</c:v>
                </c:pt>
                <c:pt idx="27">
                  <c:v>108860026.455073</c:v>
                </c:pt>
                <c:pt idx="28">
                  <c:v>109415015.047328</c:v>
                </c:pt>
                <c:pt idx="29">
                  <c:v>110123983.666274</c:v>
                </c:pt>
                <c:pt idx="30">
                  <c:v>110967682.516801</c:v>
                </c:pt>
                <c:pt idx="31">
                  <c:v>111875684.976675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32-4844-8822-24A252BAD80A}"/>
            </c:ext>
          </c:extLst>
        </c:ser>
        <c:ser>
          <c:idx val="3"/>
          <c:order val="3"/>
          <c:tx>
            <c:strRef>
              <c:f>'Transportation Energy'!$B$72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Energy'!$C$48:$AH$48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Energy'!$C$72:$AH$72</c:f>
              <c:numCache>
                <c:formatCode>General</c:formatCode>
                <c:ptCount val="32"/>
                <c:pt idx="0">
                  <c:v>3883223.0108770002</c:v>
                </c:pt>
                <c:pt idx="1">
                  <c:v>3883223.0097770002</c:v>
                </c:pt>
                <c:pt idx="2">
                  <c:v>3883223.009478</c:v>
                </c:pt>
                <c:pt idx="3">
                  <c:v>3883223.0100770001</c:v>
                </c:pt>
                <c:pt idx="4">
                  <c:v>3883223.0108770002</c:v>
                </c:pt>
                <c:pt idx="5">
                  <c:v>3883223.0088789999</c:v>
                </c:pt>
                <c:pt idx="6">
                  <c:v>3883223.010677</c:v>
                </c:pt>
                <c:pt idx="7">
                  <c:v>3883223.0086790002</c:v>
                </c:pt>
                <c:pt idx="8">
                  <c:v>3883223.0106759998</c:v>
                </c:pt>
                <c:pt idx="9">
                  <c:v>3883223.0110760001</c:v>
                </c:pt>
                <c:pt idx="10">
                  <c:v>3883223.0110760001</c:v>
                </c:pt>
                <c:pt idx="11">
                  <c:v>3883223.0090780002</c:v>
                </c:pt>
                <c:pt idx="12">
                  <c:v>3883223.0102769998</c:v>
                </c:pt>
                <c:pt idx="13">
                  <c:v>3883223.010278</c:v>
                </c:pt>
                <c:pt idx="14">
                  <c:v>3883223.0110760001</c:v>
                </c:pt>
                <c:pt idx="15">
                  <c:v>3883223.0106759998</c:v>
                </c:pt>
                <c:pt idx="16">
                  <c:v>3883223.0110760001</c:v>
                </c:pt>
                <c:pt idx="17">
                  <c:v>3883223.0110760001</c:v>
                </c:pt>
                <c:pt idx="18">
                  <c:v>3883223.009079</c:v>
                </c:pt>
                <c:pt idx="19">
                  <c:v>3883223.0110760001</c:v>
                </c:pt>
                <c:pt idx="20">
                  <c:v>3883223.0102769998</c:v>
                </c:pt>
                <c:pt idx="21">
                  <c:v>3883223.0110760001</c:v>
                </c:pt>
                <c:pt idx="22">
                  <c:v>3883223.0110760001</c:v>
                </c:pt>
                <c:pt idx="23">
                  <c:v>3883223.0118749999</c:v>
                </c:pt>
                <c:pt idx="24">
                  <c:v>3883223.0090780002</c:v>
                </c:pt>
                <c:pt idx="25">
                  <c:v>3883223.0086790002</c:v>
                </c:pt>
                <c:pt idx="26">
                  <c:v>3883223.009877</c:v>
                </c:pt>
                <c:pt idx="27">
                  <c:v>3883223.009478</c:v>
                </c:pt>
                <c:pt idx="28">
                  <c:v>3883223.0106759998</c:v>
                </c:pt>
                <c:pt idx="29">
                  <c:v>3883223.0118749999</c:v>
                </c:pt>
                <c:pt idx="30">
                  <c:v>3883223.0102769998</c:v>
                </c:pt>
                <c:pt idx="31">
                  <c:v>3883223.009877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32-4844-8822-24A252BAD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90001"/>
        <c:axId val="50890002"/>
      </c:areaChart>
      <c:catAx>
        <c:axId val="508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90002"/>
        <c:crosses val="autoZero"/>
        <c:auto val="1"/>
        <c:lblAlgn val="ctr"/>
        <c:lblOffset val="100"/>
        <c:tickLblSkip val="2"/>
        <c:noMultiLvlLbl val="0"/>
      </c:catAx>
      <c:valAx>
        <c:axId val="508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89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'Total Emissions'!$B$42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F282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Emissions'!$C$42,'Total Emissions'!$AH$42)</c:f>
              <c:numCache>
                <c:formatCode>General</c:formatCode>
                <c:ptCount val="2"/>
                <c:pt idx="0">
                  <c:v>48408352.039399996</c:v>
                </c:pt>
                <c:pt idx="1">
                  <c:v>11536972.4998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B-40FB-AA38-E7D96D6742AF}"/>
            </c:ext>
          </c:extLst>
        </c:ser>
        <c:ser>
          <c:idx val="1"/>
          <c:order val="1"/>
          <c:tx>
            <c:strRef>
              <c:f>'Total Emissions'!$B$40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F22738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Emissions'!$C$40,'Total Emissions'!$AH$40)</c:f>
              <c:numCache>
                <c:formatCode>General</c:formatCode>
                <c:ptCount val="2"/>
                <c:pt idx="0">
                  <c:v>20476927.013766222</c:v>
                </c:pt>
                <c:pt idx="1">
                  <c:v>10338169.3181883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7B-40FB-AA38-E7D96D6742AF}"/>
            </c:ext>
          </c:extLst>
        </c:ser>
        <c:ser>
          <c:idx val="2"/>
          <c:order val="2"/>
          <c:tx>
            <c:strRef>
              <c:f>'Total Emissions'!$B$38</c:f>
              <c:strCache>
                <c:ptCount val="1"/>
                <c:pt idx="0">
                  <c:v>Energy Production</c:v>
                </c:pt>
              </c:strCache>
            </c:strRef>
          </c:tx>
          <c:spPr>
            <a:solidFill>
              <a:srgbClr val="E7C92E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Emissions'!$C$38,'Total Emissions'!$AH$38)</c:f>
              <c:numCache>
                <c:formatCode>General</c:formatCode>
                <c:ptCount val="2"/>
                <c:pt idx="0">
                  <c:v>18990147.210269999</c:v>
                </c:pt>
                <c:pt idx="1">
                  <c:v>3906593.2380900001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7B-40FB-AA38-E7D96D6742AF}"/>
            </c:ext>
          </c:extLst>
        </c:ser>
        <c:ser>
          <c:idx val="3"/>
          <c:order val="3"/>
          <c:tx>
            <c:strRef>
              <c:f>'Total Emissions'!$B$41</c:f>
              <c:strCache>
                <c:ptCount val="1"/>
                <c:pt idx="0">
                  <c:v>Residential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Emissions'!$C$41,'Total Emissions'!$AH$41)</c:f>
              <c:numCache>
                <c:formatCode>General</c:formatCode>
                <c:ptCount val="2"/>
                <c:pt idx="0">
                  <c:v>9744535.1999999993</c:v>
                </c:pt>
                <c:pt idx="1">
                  <c:v>412229.01699999999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7B-40FB-AA38-E7D96D6742AF}"/>
            </c:ext>
          </c:extLst>
        </c:ser>
        <c:ser>
          <c:idx val="4"/>
          <c:order val="4"/>
          <c:tx>
            <c:strRef>
              <c:f>'Total Emissions'!$B$37</c:f>
              <c:strCache>
                <c:ptCount val="1"/>
                <c:pt idx="0">
                  <c:v>Commercial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Emissions'!$C$37,'Total Emissions'!$AH$37)</c:f>
              <c:numCache>
                <c:formatCode>General</c:formatCode>
                <c:ptCount val="2"/>
                <c:pt idx="0">
                  <c:v>7899613.5607049996</c:v>
                </c:pt>
                <c:pt idx="1">
                  <c:v>389542.01158300001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7B-40FB-AA38-E7D96D6742AF}"/>
            </c:ext>
          </c:extLst>
        </c:ser>
        <c:ser>
          <c:idx val="5"/>
          <c:order val="5"/>
          <c:tx>
            <c:strRef>
              <c:f>'Total Emissions'!$B$36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73BF4D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Emissions'!$C$36,'Total Emissions'!$AH$36)</c:f>
              <c:numCache>
                <c:formatCode>General</c:formatCode>
                <c:ptCount val="2"/>
                <c:pt idx="0">
                  <c:v>378717.85989999998</c:v>
                </c:pt>
                <c:pt idx="1">
                  <c:v>378717.85989999998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7B-40FB-AA38-E7D96D6742AF}"/>
            </c:ext>
          </c:extLst>
        </c:ser>
        <c:ser>
          <c:idx val="6"/>
          <c:order val="6"/>
          <c:tx>
            <c:strRef>
              <c:f>'Total Emissions'!$B$39</c:f>
              <c:strCache>
                <c:ptCount val="1"/>
                <c:pt idx="0">
                  <c:v>Fugitive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('Total Emissions'!$C$11,'Total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('Total Emissions'!$C$39,'Total Emissions'!$AH$39)</c:f>
              <c:numCache>
                <c:formatCode>General</c:formatCode>
                <c:ptCount val="2"/>
                <c:pt idx="0">
                  <c:v>221100.7</c:v>
                </c:pt>
                <c:pt idx="1">
                  <c:v>110713.5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7B-40FB-AA38-E7D96D674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90001"/>
        <c:axId val="50090002"/>
      </c:barChart>
      <c:catAx>
        <c:axId val="500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90002"/>
        <c:crosses val="autoZero"/>
        <c:auto val="1"/>
        <c:lblAlgn val="ctr"/>
        <c:lblOffset val="100"/>
        <c:noMultiLvlLbl val="0"/>
      </c:catAx>
      <c:valAx>
        <c:axId val="500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09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Energy'!$B$70</c:f>
              <c:strCache>
                <c:ptCount val="1"/>
                <c:pt idx="0">
                  <c:v>Heavy Truck</c:v>
                </c:pt>
              </c:strCache>
            </c:strRef>
          </c:tx>
          <c:spPr>
            <a:solidFill>
              <a:srgbClr val="6F4483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Energy'!$C$70,'Transportation Energy'!$AH$70)</c:f>
              <c:numCache>
                <c:formatCode>General</c:formatCode>
                <c:ptCount val="2"/>
                <c:pt idx="0">
                  <c:v>247762338.83683699</c:v>
                </c:pt>
                <c:pt idx="1">
                  <c:v>203718905.37431601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7-4301-B4E9-8FAECECEE291}"/>
            </c:ext>
          </c:extLst>
        </c:ser>
        <c:ser>
          <c:idx val="1"/>
          <c:order val="1"/>
          <c:tx>
            <c:strRef>
              <c:f>'Transportation Energy'!$B$69</c:f>
              <c:strCache>
                <c:ptCount val="1"/>
                <c:pt idx="0">
                  <c:v>Car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Energy'!$C$69,'Transportation Energy'!$AH$69)</c:f>
              <c:numCache>
                <c:formatCode>General</c:formatCode>
                <c:ptCount val="2"/>
                <c:pt idx="0">
                  <c:v>119614708.408329</c:v>
                </c:pt>
                <c:pt idx="1">
                  <c:v>96900763.133591011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7-4301-B4E9-8FAECECEE291}"/>
            </c:ext>
          </c:extLst>
        </c:ser>
        <c:ser>
          <c:idx val="2"/>
          <c:order val="2"/>
          <c:tx>
            <c:strRef>
              <c:f>'Transportation Energy'!$B$71</c:f>
              <c:strCache>
                <c:ptCount val="1"/>
                <c:pt idx="0">
                  <c:v>Light Truck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Energy'!$C$71,'Transportation Energy'!$AH$71)</c:f>
              <c:numCache>
                <c:formatCode>General</c:formatCode>
                <c:ptCount val="2"/>
                <c:pt idx="0">
                  <c:v>113751015.381651</c:v>
                </c:pt>
                <c:pt idx="1">
                  <c:v>111875684.976675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7-4301-B4E9-8FAECECEE291}"/>
            </c:ext>
          </c:extLst>
        </c:ser>
        <c:ser>
          <c:idx val="3"/>
          <c:order val="3"/>
          <c:tx>
            <c:strRef>
              <c:f>'Transportation Energy'!$B$72</c:f>
              <c:strCache>
                <c:ptCount val="1"/>
                <c:pt idx="0">
                  <c:v>Urban Bus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Energy'!$C$48,'Transportation Energy'!$AH$48)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Energy'!$C$72,'Transportation Energy'!$AH$72)</c:f>
              <c:numCache>
                <c:formatCode>General</c:formatCode>
                <c:ptCount val="2"/>
                <c:pt idx="0">
                  <c:v>3883223.0108770002</c:v>
                </c:pt>
                <c:pt idx="1">
                  <c:v>3883223.009877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7-4301-B4E9-8FAECECEE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00001"/>
        <c:axId val="50900002"/>
      </c:barChart>
      <c:catAx>
        <c:axId val="5090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00002"/>
        <c:crosses val="autoZero"/>
        <c:auto val="1"/>
        <c:lblAlgn val="ctr"/>
        <c:lblOffset val="100"/>
        <c:noMultiLvlLbl val="0"/>
      </c:catAx>
      <c:valAx>
        <c:axId val="5090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0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Energy'!$D$76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Energy'!$B$77:$C$84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Energy'!$D$77:$D$84</c:f>
              <c:numCache>
                <c:formatCode>General</c:formatCode>
                <c:ptCount val="8"/>
                <c:pt idx="0">
                  <c:v>2069143.385279</c:v>
                </c:pt>
                <c:pt idx="1">
                  <c:v>3215.8345199999999</c:v>
                </c:pt>
                <c:pt idx="2">
                  <c:v>126651836.287541</c:v>
                </c:pt>
                <c:pt idx="3">
                  <c:v>0</c:v>
                </c:pt>
                <c:pt idx="4">
                  <c:v>7516482.4197129998</c:v>
                </c:pt>
                <c:pt idx="5">
                  <c:v>15472.296872000001</c:v>
                </c:pt>
                <c:pt idx="6">
                  <c:v>3135026.555867</c:v>
                </c:pt>
                <c:pt idx="7">
                  <c:v>2508021.3594260002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4-4B61-9A26-6D1F32E2F163}"/>
            </c:ext>
          </c:extLst>
        </c:ser>
        <c:ser>
          <c:idx val="1"/>
          <c:order val="1"/>
          <c:tx>
            <c:strRef>
              <c:f>'Transportation Energy'!$E$76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Energy'!$B$77:$C$84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Energy'!$E$77:$E$84</c:f>
              <c:numCache>
                <c:formatCode>General</c:formatCode>
                <c:ptCount val="8"/>
                <c:pt idx="0">
                  <c:v>117365328.131923</c:v>
                </c:pt>
                <c:pt idx="1">
                  <c:v>73543.856381999998</c:v>
                </c:pt>
                <c:pt idx="2">
                  <c:v>121110502.54929601</c:v>
                </c:pt>
                <c:pt idx="3">
                  <c:v>0</c:v>
                </c:pt>
                <c:pt idx="4">
                  <c:v>105935702.57189099</c:v>
                </c:pt>
                <c:pt idx="5">
                  <c:v>86508.859903000004</c:v>
                </c:pt>
                <c:pt idx="6">
                  <c:v>514535.80767499999</c:v>
                </c:pt>
                <c:pt idx="7">
                  <c:v>411628.665874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4-4B61-9A26-6D1F32E2F163}"/>
            </c:ext>
          </c:extLst>
        </c:ser>
        <c:ser>
          <c:idx val="2"/>
          <c:order val="2"/>
          <c:tx>
            <c:strRef>
              <c:f>'Transportation Energy'!$F$76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Energy'!$B$77:$C$84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Energy'!$F$77:$F$84</c:f>
              <c:numCache>
                <c:formatCode>General</c:formatCode>
                <c:ptCount val="8"/>
                <c:pt idx="0">
                  <c:v>3894.4953609999998</c:v>
                </c:pt>
                <c:pt idx="1">
                  <c:v>6785303.1951099997</c:v>
                </c:pt>
                <c:pt idx="2">
                  <c:v>0</c:v>
                </c:pt>
                <c:pt idx="3">
                  <c:v>4867863.9277109997</c:v>
                </c:pt>
                <c:pt idx="4">
                  <c:v>6457.0219809999999</c:v>
                </c:pt>
                <c:pt idx="5">
                  <c:v>7889441.625395</c:v>
                </c:pt>
                <c:pt idx="6">
                  <c:v>1158.64805</c:v>
                </c:pt>
                <c:pt idx="7">
                  <c:v>16895.015788000001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4-4B61-9A26-6D1F32E2F163}"/>
            </c:ext>
          </c:extLst>
        </c:ser>
        <c:ser>
          <c:idx val="3"/>
          <c:order val="3"/>
          <c:tx>
            <c:strRef>
              <c:f>'Transportation Energy'!$G$76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Energy'!$B$77:$C$84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Energy'!$G$77:$G$84</c:f>
              <c:numCache>
                <c:formatCode>General</c:formatCode>
                <c:ptCount val="8"/>
                <c:pt idx="2">
                  <c:v>0</c:v>
                </c:pt>
                <c:pt idx="3">
                  <c:v>53338421.199700996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4-4B61-9A26-6D1F32E2F163}"/>
            </c:ext>
          </c:extLst>
        </c:ser>
        <c:ser>
          <c:idx val="4"/>
          <c:order val="4"/>
          <c:tx>
            <c:strRef>
              <c:f>'Transportation Energy'!$H$76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Energy'!$B$77:$C$84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Energy'!$H$77:$H$84</c:f>
              <c:numCache>
                <c:formatCode>General</c:formatCode>
                <c:ptCount val="8"/>
                <c:pt idx="0">
                  <c:v>176342.395766</c:v>
                </c:pt>
                <c:pt idx="1">
                  <c:v>14750183.121872</c:v>
                </c:pt>
                <c:pt idx="2">
                  <c:v>0</c:v>
                </c:pt>
                <c:pt idx="3">
                  <c:v>10581971.399281001</c:v>
                </c:pt>
                <c:pt idx="4">
                  <c:v>292373.368066</c:v>
                </c:pt>
                <c:pt idx="5">
                  <c:v>17150406.600512002</c:v>
                </c:pt>
                <c:pt idx="6">
                  <c:v>52463.478321000002</c:v>
                </c:pt>
                <c:pt idx="7">
                  <c:v>36727.109983000002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F4-4B61-9A26-6D1F32E2F163}"/>
            </c:ext>
          </c:extLst>
        </c:ser>
        <c:ser>
          <c:idx val="5"/>
          <c:order val="5"/>
          <c:tx>
            <c:strRef>
              <c:f>'Transportation Energy'!$I$76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Energy'!$B$77:$C$84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Energy'!$I$77:$I$84</c:f>
              <c:numCache>
                <c:formatCode>General</c:formatCode>
                <c:ptCount val="8"/>
                <c:pt idx="2">
                  <c:v>0</c:v>
                </c:pt>
                <c:pt idx="3">
                  <c:v>25641701.055031002</c:v>
                </c:pt>
                <c:pt idx="6">
                  <c:v>180038.520964</c:v>
                </c:pt>
                <c:pt idx="7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F4-4B61-9A26-6D1F32E2F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10001"/>
        <c:axId val="50910002"/>
      </c:barChart>
      <c:catAx>
        <c:axId val="5091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10002"/>
        <c:crosses val="autoZero"/>
        <c:auto val="1"/>
        <c:lblAlgn val="ctr"/>
        <c:lblOffset val="100"/>
        <c:noMultiLvlLbl val="0"/>
      </c:catAx>
      <c:valAx>
        <c:axId val="5091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1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Energy'!$D$76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Energy'!$B$85:$C$92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Energy'!$D$85:$D$92</c:f>
              <c:numCache>
                <c:formatCode>General</c:formatCode>
                <c:ptCount val="8"/>
                <c:pt idx="0">
                  <c:v>2069143.385279</c:v>
                </c:pt>
                <c:pt idx="1">
                  <c:v>4947.3278879999998</c:v>
                </c:pt>
                <c:pt idx="2">
                  <c:v>126651836.287541</c:v>
                </c:pt>
                <c:pt idx="3">
                  <c:v>40343838.248009004</c:v>
                </c:pt>
                <c:pt idx="4">
                  <c:v>7516482.4197129998</c:v>
                </c:pt>
                <c:pt idx="5">
                  <c:v>23791.017443000001</c:v>
                </c:pt>
                <c:pt idx="6">
                  <c:v>3135026.555867</c:v>
                </c:pt>
                <c:pt idx="7">
                  <c:v>2508021.3594260002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8-4828-87C7-0C13E7456C66}"/>
            </c:ext>
          </c:extLst>
        </c:ser>
        <c:ser>
          <c:idx val="1"/>
          <c:order val="1"/>
          <c:tx>
            <c:strRef>
              <c:f>'Transportation Energy'!$E$76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Energy'!$B$85:$C$92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Energy'!$E$85:$E$92</c:f>
              <c:numCache>
                <c:formatCode>General</c:formatCode>
                <c:ptCount val="8"/>
                <c:pt idx="0">
                  <c:v>117365328.131923</c:v>
                </c:pt>
                <c:pt idx="1">
                  <c:v>110074.939698</c:v>
                </c:pt>
                <c:pt idx="2">
                  <c:v>121110502.54929601</c:v>
                </c:pt>
                <c:pt idx="3">
                  <c:v>37104277.778577998</c:v>
                </c:pt>
                <c:pt idx="4">
                  <c:v>105935702.57189099</c:v>
                </c:pt>
                <c:pt idx="5">
                  <c:v>129569.477184</c:v>
                </c:pt>
                <c:pt idx="6">
                  <c:v>514535.80767499999</c:v>
                </c:pt>
                <c:pt idx="7">
                  <c:v>411628.665874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8-4828-87C7-0C13E7456C66}"/>
            </c:ext>
          </c:extLst>
        </c:ser>
        <c:ser>
          <c:idx val="2"/>
          <c:order val="2"/>
          <c:tx>
            <c:strRef>
              <c:f>'Transportation Energy'!$F$76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Energy'!$B$85:$C$92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Energy'!$F$85:$F$92</c:f>
              <c:numCache>
                <c:formatCode>General</c:formatCode>
                <c:ptCount val="8"/>
                <c:pt idx="0">
                  <c:v>3894.4953609999998</c:v>
                </c:pt>
                <c:pt idx="1">
                  <c:v>10200870.896206999</c:v>
                </c:pt>
                <c:pt idx="2">
                  <c:v>0</c:v>
                </c:pt>
                <c:pt idx="3">
                  <c:v>8788067.3653810006</c:v>
                </c:pt>
                <c:pt idx="4">
                  <c:v>6457.0219809999999</c:v>
                </c:pt>
                <c:pt idx="5">
                  <c:v>12063551.097872</c:v>
                </c:pt>
                <c:pt idx="6">
                  <c:v>1158.64805</c:v>
                </c:pt>
                <c:pt idx="7">
                  <c:v>16946.646035999998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E8-4828-87C7-0C13E7456C66}"/>
            </c:ext>
          </c:extLst>
        </c:ser>
        <c:ser>
          <c:idx val="3"/>
          <c:order val="3"/>
          <c:tx>
            <c:strRef>
              <c:f>'Transportation Energy'!$G$76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Energy'!$B$85:$C$92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Energy'!$G$85:$G$92</c:f>
              <c:numCache>
                <c:formatCode>General</c:formatCode>
                <c:ptCount val="8"/>
                <c:pt idx="2">
                  <c:v>0</c:v>
                </c:pt>
                <c:pt idx="3">
                  <c:v>15726176.711763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E8-4828-87C7-0C13E7456C66}"/>
            </c:ext>
          </c:extLst>
        </c:ser>
        <c:ser>
          <c:idx val="4"/>
          <c:order val="4"/>
          <c:tx>
            <c:strRef>
              <c:f>'Transportation Energy'!$H$76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Energy'!$B$85:$C$92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Energy'!$H$85:$H$92</c:f>
              <c:numCache>
                <c:formatCode>General</c:formatCode>
                <c:ptCount val="8"/>
                <c:pt idx="0">
                  <c:v>176342.395766</c:v>
                </c:pt>
                <c:pt idx="1">
                  <c:v>22076452.948396001</c:v>
                </c:pt>
                <c:pt idx="2">
                  <c:v>0</c:v>
                </c:pt>
                <c:pt idx="3">
                  <c:v>19018901.197083</c:v>
                </c:pt>
                <c:pt idx="4">
                  <c:v>292373.368066</c:v>
                </c:pt>
                <c:pt idx="5">
                  <c:v>26107615.801879</c:v>
                </c:pt>
                <c:pt idx="6">
                  <c:v>52463.478321000002</c:v>
                </c:pt>
                <c:pt idx="7">
                  <c:v>36675.479735000001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E8-4828-87C7-0C13E7456C66}"/>
            </c:ext>
          </c:extLst>
        </c:ser>
        <c:ser>
          <c:idx val="5"/>
          <c:order val="5"/>
          <c:tx>
            <c:strRef>
              <c:f>'Transportation Energy'!$I$76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Energy'!$B$85:$C$92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Energy'!$I$85:$I$92</c:f>
              <c:numCache>
                <c:formatCode>General</c:formatCode>
                <c:ptCount val="8"/>
                <c:pt idx="6">
                  <c:v>180038.520964</c:v>
                </c:pt>
                <c:pt idx="7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E8-4828-87C7-0C13E7456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20001"/>
        <c:axId val="50920002"/>
      </c:barChart>
      <c:catAx>
        <c:axId val="5092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20002"/>
        <c:crosses val="autoZero"/>
        <c:auto val="1"/>
        <c:lblAlgn val="ctr"/>
        <c:lblOffset val="100"/>
        <c:noMultiLvlLbl val="0"/>
      </c:catAx>
      <c:valAx>
        <c:axId val="5092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2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Energy'!$D$76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Energy'!$B$93:$C$100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Energy'!$D$93:$D$100</c:f>
              <c:numCache>
                <c:formatCode>General</c:formatCode>
                <c:ptCount val="8"/>
                <c:pt idx="0">
                  <c:v>2069143.385279</c:v>
                </c:pt>
                <c:pt idx="1">
                  <c:v>4085240.5953939999</c:v>
                </c:pt>
                <c:pt idx="2">
                  <c:v>126651836.287541</c:v>
                </c:pt>
                <c:pt idx="3">
                  <c:v>104064771.09208401</c:v>
                </c:pt>
                <c:pt idx="4">
                  <c:v>7516482.4197129998</c:v>
                </c:pt>
                <c:pt idx="5">
                  <c:v>17409503.028730001</c:v>
                </c:pt>
                <c:pt idx="6">
                  <c:v>3135026.555867</c:v>
                </c:pt>
                <c:pt idx="7">
                  <c:v>3135026.555867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A-40EC-AFC1-BBC80792550C}"/>
            </c:ext>
          </c:extLst>
        </c:ser>
        <c:ser>
          <c:idx val="1"/>
          <c:order val="1"/>
          <c:tx>
            <c:strRef>
              <c:f>'Transportation Energy'!$E$76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Energy'!$B$93:$C$100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Energy'!$E$93:$E$100</c:f>
              <c:numCache>
                <c:formatCode>General</c:formatCode>
                <c:ptCount val="8"/>
                <c:pt idx="0">
                  <c:v>117365328.131923</c:v>
                </c:pt>
                <c:pt idx="1">
                  <c:v>91979054.895535007</c:v>
                </c:pt>
                <c:pt idx="2">
                  <c:v>121110502.54929601</c:v>
                </c:pt>
                <c:pt idx="3">
                  <c:v>99654134.282232001</c:v>
                </c:pt>
                <c:pt idx="4">
                  <c:v>105935702.57189099</c:v>
                </c:pt>
                <c:pt idx="5">
                  <c:v>93023508.157974005</c:v>
                </c:pt>
                <c:pt idx="6">
                  <c:v>514535.80767499999</c:v>
                </c:pt>
                <c:pt idx="7">
                  <c:v>514535.80767499999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A-40EC-AFC1-BBC80792550C}"/>
            </c:ext>
          </c:extLst>
        </c:ser>
        <c:ser>
          <c:idx val="2"/>
          <c:order val="2"/>
          <c:tx>
            <c:strRef>
              <c:f>'Transportation Energy'!$F$76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Energy'!$B$93:$C$100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Energy'!$F$93:$F$100</c:f>
              <c:numCache>
                <c:formatCode>General</c:formatCode>
                <c:ptCount val="8"/>
                <c:pt idx="0">
                  <c:v>3894.4953609999998</c:v>
                </c:pt>
                <c:pt idx="1">
                  <c:v>103564.19446499999</c:v>
                </c:pt>
                <c:pt idx="4">
                  <c:v>6457.0219809999999</c:v>
                </c:pt>
                <c:pt idx="5">
                  <c:v>178619.40057599999</c:v>
                </c:pt>
                <c:pt idx="6">
                  <c:v>1158.64805</c:v>
                </c:pt>
                <c:pt idx="7">
                  <c:v>6639.0281420000001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A-40EC-AFC1-BBC80792550C}"/>
            </c:ext>
          </c:extLst>
        </c:ser>
        <c:ser>
          <c:idx val="3"/>
          <c:order val="3"/>
          <c:tx>
            <c:strRef>
              <c:f>'Transportation Energy'!$G$76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Energy'!$B$93:$C$100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Energy'!$G$93:$G$100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B48A-40EC-AFC1-BBC80792550C}"/>
            </c:ext>
          </c:extLst>
        </c:ser>
        <c:ser>
          <c:idx val="4"/>
          <c:order val="4"/>
          <c:tx>
            <c:strRef>
              <c:f>'Transportation Energy'!$H$76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Energy'!$B$93:$C$100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Energy'!$H$93:$H$100</c:f>
              <c:numCache>
                <c:formatCode>General</c:formatCode>
                <c:ptCount val="8"/>
                <c:pt idx="0">
                  <c:v>176342.395766</c:v>
                </c:pt>
                <c:pt idx="1">
                  <c:v>732903.44819699996</c:v>
                </c:pt>
                <c:pt idx="4">
                  <c:v>292373.368066</c:v>
                </c:pt>
                <c:pt idx="5">
                  <c:v>1264054.3893949999</c:v>
                </c:pt>
                <c:pt idx="6">
                  <c:v>52463.478321000002</c:v>
                </c:pt>
                <c:pt idx="7">
                  <c:v>46983.097228999999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8A-40EC-AFC1-BBC80792550C}"/>
            </c:ext>
          </c:extLst>
        </c:ser>
        <c:ser>
          <c:idx val="5"/>
          <c:order val="5"/>
          <c:tx>
            <c:strRef>
              <c:f>'Transportation Energy'!$I$76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Energy'!$B$93:$C$100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Energy'!$I$93:$I$100</c:f>
              <c:numCache>
                <c:formatCode>General</c:formatCode>
                <c:ptCount val="8"/>
                <c:pt idx="6">
                  <c:v>180038.520964</c:v>
                </c:pt>
                <c:pt idx="7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8A-40EC-AFC1-BBC807925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30001"/>
        <c:axId val="50930002"/>
      </c:barChart>
      <c:catAx>
        <c:axId val="5093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30002"/>
        <c:crosses val="autoZero"/>
        <c:auto val="1"/>
        <c:lblAlgn val="ctr"/>
        <c:lblOffset val="100"/>
        <c:noMultiLvlLbl val="0"/>
      </c:catAx>
      <c:valAx>
        <c:axId val="5093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3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Energy'!$D$76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Energy'!$B$101:$C$108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Energy'!$D$101:$D$108</c:f>
              <c:numCache>
                <c:formatCode>General</c:formatCode>
                <c:ptCount val="8"/>
                <c:pt idx="0">
                  <c:v>2069143.385279</c:v>
                </c:pt>
                <c:pt idx="1">
                  <c:v>3215.8345199999999</c:v>
                </c:pt>
                <c:pt idx="2">
                  <c:v>126651836.287541</c:v>
                </c:pt>
                <c:pt idx="3">
                  <c:v>0</c:v>
                </c:pt>
                <c:pt idx="4">
                  <c:v>7516482.4197129998</c:v>
                </c:pt>
                <c:pt idx="5">
                  <c:v>15472.296872000001</c:v>
                </c:pt>
                <c:pt idx="6">
                  <c:v>3135026.555867</c:v>
                </c:pt>
                <c:pt idx="7">
                  <c:v>2508021.3594260002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6-4B71-977C-2A92852F4705}"/>
            </c:ext>
          </c:extLst>
        </c:ser>
        <c:ser>
          <c:idx val="1"/>
          <c:order val="1"/>
          <c:tx>
            <c:strRef>
              <c:f>'Transportation Energy'!$E$76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Energy'!$B$101:$C$108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Energy'!$E$101:$E$108</c:f>
              <c:numCache>
                <c:formatCode>General</c:formatCode>
                <c:ptCount val="8"/>
                <c:pt idx="0">
                  <c:v>117365328.131923</c:v>
                </c:pt>
                <c:pt idx="1">
                  <c:v>73543.856381999998</c:v>
                </c:pt>
                <c:pt idx="2">
                  <c:v>121110502.54929601</c:v>
                </c:pt>
                <c:pt idx="3">
                  <c:v>0</c:v>
                </c:pt>
                <c:pt idx="4">
                  <c:v>105935702.57189099</c:v>
                </c:pt>
                <c:pt idx="5">
                  <c:v>86508.859903000004</c:v>
                </c:pt>
                <c:pt idx="6">
                  <c:v>514535.80767499999</c:v>
                </c:pt>
                <c:pt idx="7">
                  <c:v>411628.665874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6-4B71-977C-2A92852F4705}"/>
            </c:ext>
          </c:extLst>
        </c:ser>
        <c:ser>
          <c:idx val="2"/>
          <c:order val="2"/>
          <c:tx>
            <c:strRef>
              <c:f>'Transportation Energy'!$F$76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Energy'!$B$101:$C$108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Energy'!$F$101:$F$108</c:f>
              <c:numCache>
                <c:formatCode>General</c:formatCode>
                <c:ptCount val="8"/>
                <c:pt idx="0">
                  <c:v>3894.4953609999998</c:v>
                </c:pt>
                <c:pt idx="1">
                  <c:v>4519828.9180910001</c:v>
                </c:pt>
                <c:pt idx="2">
                  <c:v>0</c:v>
                </c:pt>
                <c:pt idx="3">
                  <c:v>13984657.327281</c:v>
                </c:pt>
                <c:pt idx="4">
                  <c:v>6457.0219809999999</c:v>
                </c:pt>
                <c:pt idx="5">
                  <c:v>5255318.0573789999</c:v>
                </c:pt>
                <c:pt idx="6">
                  <c:v>1158.64805</c:v>
                </c:pt>
                <c:pt idx="7">
                  <c:v>11254.114772999999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06-4B71-977C-2A92852F4705}"/>
            </c:ext>
          </c:extLst>
        </c:ser>
        <c:ser>
          <c:idx val="3"/>
          <c:order val="3"/>
          <c:tx>
            <c:strRef>
              <c:f>'Transportation Energy'!$G$76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Energy'!$B$101:$C$108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Energy'!$G$101:$G$108</c:f>
              <c:numCache>
                <c:formatCode>General</c:formatCode>
                <c:ptCount val="8"/>
                <c:pt idx="2">
                  <c:v>0</c:v>
                </c:pt>
                <c:pt idx="3">
                  <c:v>13367250.44633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06-4B71-977C-2A92852F4705}"/>
            </c:ext>
          </c:extLst>
        </c:ser>
        <c:ser>
          <c:idx val="4"/>
          <c:order val="4"/>
          <c:tx>
            <c:strRef>
              <c:f>'Transportation Energy'!$H$76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Energy'!$B$101:$C$108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Energy'!$H$101:$H$108</c:f>
              <c:numCache>
                <c:formatCode>General</c:formatCode>
                <c:ptCount val="8"/>
                <c:pt idx="0">
                  <c:v>176342.395766</c:v>
                </c:pt>
                <c:pt idx="1">
                  <c:v>17015657.077985998</c:v>
                </c:pt>
                <c:pt idx="2">
                  <c:v>0</c:v>
                </c:pt>
                <c:pt idx="3">
                  <c:v>52647597.452570997</c:v>
                </c:pt>
                <c:pt idx="4">
                  <c:v>292373.368066</c:v>
                </c:pt>
                <c:pt idx="5">
                  <c:v>19784529.795405</c:v>
                </c:pt>
                <c:pt idx="6">
                  <c:v>52463.478321000002</c:v>
                </c:pt>
                <c:pt idx="7">
                  <c:v>42368.010198999997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06-4B71-977C-2A92852F4705}"/>
            </c:ext>
          </c:extLst>
        </c:ser>
        <c:ser>
          <c:idx val="5"/>
          <c:order val="5"/>
          <c:tx>
            <c:strRef>
              <c:f>'Transportation Energy'!$I$76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Energy'!$B$101:$C$108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Energy'!$I$101:$I$108</c:f>
              <c:numCache>
                <c:formatCode>General</c:formatCode>
                <c:ptCount val="8"/>
                <c:pt idx="6">
                  <c:v>180038.520964</c:v>
                </c:pt>
                <c:pt idx="7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06-4B71-977C-2A92852F4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40001"/>
        <c:axId val="50940002"/>
      </c:barChart>
      <c:catAx>
        <c:axId val="5094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40002"/>
        <c:crosses val="autoZero"/>
        <c:auto val="1"/>
        <c:lblAlgn val="ctr"/>
        <c:lblOffset val="100"/>
        <c:noMultiLvlLbl val="0"/>
      </c:catAx>
      <c:valAx>
        <c:axId val="5094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4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Energy'!$D$76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Energy'!$B$109:$C$116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Energy'!$D$109:$D$116</c:f>
              <c:numCache>
                <c:formatCode>General</c:formatCode>
                <c:ptCount val="8"/>
                <c:pt idx="0">
                  <c:v>2069143.385279</c:v>
                </c:pt>
                <c:pt idx="1">
                  <c:v>3215.8345199999999</c:v>
                </c:pt>
                <c:pt idx="2">
                  <c:v>126651836.287541</c:v>
                </c:pt>
                <c:pt idx="3">
                  <c:v>0</c:v>
                </c:pt>
                <c:pt idx="4">
                  <c:v>7516482.4197129998</c:v>
                </c:pt>
                <c:pt idx="5">
                  <c:v>15472.296872000001</c:v>
                </c:pt>
                <c:pt idx="6">
                  <c:v>3135026.555867</c:v>
                </c:pt>
                <c:pt idx="7">
                  <c:v>2508021.3594260002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0-448B-A24C-B446E435569A}"/>
            </c:ext>
          </c:extLst>
        </c:ser>
        <c:ser>
          <c:idx val="1"/>
          <c:order val="1"/>
          <c:tx>
            <c:strRef>
              <c:f>'Transportation Energy'!$E$76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Energy'!$B$109:$C$116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Energy'!$E$109:$E$116</c:f>
              <c:numCache>
                <c:formatCode>General</c:formatCode>
                <c:ptCount val="8"/>
                <c:pt idx="0">
                  <c:v>117365328.131923</c:v>
                </c:pt>
                <c:pt idx="1">
                  <c:v>73543.856381999998</c:v>
                </c:pt>
                <c:pt idx="2">
                  <c:v>121110502.54929601</c:v>
                </c:pt>
                <c:pt idx="3">
                  <c:v>0</c:v>
                </c:pt>
                <c:pt idx="4">
                  <c:v>105935702.57189099</c:v>
                </c:pt>
                <c:pt idx="5">
                  <c:v>86508.859903000004</c:v>
                </c:pt>
                <c:pt idx="6">
                  <c:v>514535.80767499999</c:v>
                </c:pt>
                <c:pt idx="7">
                  <c:v>411628.665874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0-448B-A24C-B446E435569A}"/>
            </c:ext>
          </c:extLst>
        </c:ser>
        <c:ser>
          <c:idx val="2"/>
          <c:order val="2"/>
          <c:tx>
            <c:strRef>
              <c:f>'Transportation Energy'!$F$76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Energy'!$B$109:$C$116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Energy'!$F$109:$F$116</c:f>
              <c:numCache>
                <c:formatCode>General</c:formatCode>
                <c:ptCount val="8"/>
                <c:pt idx="0">
                  <c:v>3894.4953609999998</c:v>
                </c:pt>
                <c:pt idx="1">
                  <c:v>3352845.7333220001</c:v>
                </c:pt>
                <c:pt idx="2">
                  <c:v>0</c:v>
                </c:pt>
                <c:pt idx="3">
                  <c:v>2405374.7240329999</c:v>
                </c:pt>
                <c:pt idx="4">
                  <c:v>6457.0219809999999</c:v>
                </c:pt>
                <c:pt idx="5">
                  <c:v>3898437.5393960001</c:v>
                </c:pt>
                <c:pt idx="6">
                  <c:v>1158.64805</c:v>
                </c:pt>
                <c:pt idx="7">
                  <c:v>8348.3935750000001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0-448B-A24C-B446E435569A}"/>
            </c:ext>
          </c:extLst>
        </c:ser>
        <c:ser>
          <c:idx val="3"/>
          <c:order val="3"/>
          <c:tx>
            <c:strRef>
              <c:f>'Transportation Energy'!$G$76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rgbClr val="D2D2D4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Energy'!$B$109:$C$116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Energy'!$G$109:$G$116</c:f>
              <c:numCache>
                <c:formatCode>General</c:formatCode>
                <c:ptCount val="8"/>
                <c:pt idx="2">
                  <c:v>0</c:v>
                </c:pt>
                <c:pt idx="3">
                  <c:v>53338421.199700996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0-448B-A24C-B446E435569A}"/>
            </c:ext>
          </c:extLst>
        </c:ser>
        <c:ser>
          <c:idx val="4"/>
          <c:order val="4"/>
          <c:tx>
            <c:strRef>
              <c:f>'Transportation Energy'!$H$76</c:f>
              <c:strCache>
                <c:ptCount val="1"/>
                <c:pt idx="0">
                  <c:v>Local Electricity</c:v>
                </c:pt>
              </c:strCache>
            </c:strRef>
          </c:tx>
          <c:spPr>
            <a:solidFill>
              <a:srgbClr val="D55BA0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Energy'!$B$109:$C$116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Energy'!$H$109:$H$116</c:f>
              <c:numCache>
                <c:formatCode>General</c:formatCode>
                <c:ptCount val="8"/>
                <c:pt idx="0">
                  <c:v>176342.395766</c:v>
                </c:pt>
                <c:pt idx="1">
                  <c:v>18182640.262756001</c:v>
                </c:pt>
                <c:pt idx="2">
                  <c:v>0</c:v>
                </c:pt>
                <c:pt idx="3">
                  <c:v>13044460.372738</c:v>
                </c:pt>
                <c:pt idx="4">
                  <c:v>292373.368066</c:v>
                </c:pt>
                <c:pt idx="5">
                  <c:v>21141410.313389</c:v>
                </c:pt>
                <c:pt idx="6">
                  <c:v>52463.478321000002</c:v>
                </c:pt>
                <c:pt idx="7">
                  <c:v>45273.731397000003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0-448B-A24C-B446E435569A}"/>
            </c:ext>
          </c:extLst>
        </c:ser>
        <c:ser>
          <c:idx val="5"/>
          <c:order val="5"/>
          <c:tx>
            <c:strRef>
              <c:f>'Transportation Energy'!$I$76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multiLvlStrRef>
              <c:f>'Transportation Energy'!$B$109:$C$116</c:f>
              <c:multiLvlStrCache>
                <c:ptCount val="8"/>
                <c:lvl>
                  <c:pt idx="0">
                    <c:v>2019</c:v>
                  </c:pt>
                  <c:pt idx="1">
                    <c:v>2050</c:v>
                  </c:pt>
                  <c:pt idx="2">
                    <c:v>2019</c:v>
                  </c:pt>
                  <c:pt idx="3">
                    <c:v>2050</c:v>
                  </c:pt>
                  <c:pt idx="4">
                    <c:v>2019</c:v>
                  </c:pt>
                  <c:pt idx="5">
                    <c:v>2050</c:v>
                  </c:pt>
                  <c:pt idx="6">
                    <c:v>2019</c:v>
                  </c:pt>
                  <c:pt idx="7">
                    <c:v>2050</c:v>
                  </c:pt>
                </c:lvl>
                <c:lvl>
                  <c:pt idx="0">
                    <c:v>Car</c:v>
                  </c:pt>
                  <c:pt idx="2">
                    <c:v>Heavy Truck</c:v>
                  </c:pt>
                  <c:pt idx="4">
                    <c:v>Light Truck</c:v>
                  </c:pt>
                  <c:pt idx="6">
                    <c:v>Urban Bus</c:v>
                  </c:pt>
                </c:lvl>
              </c:multiLvlStrCache>
            </c:multiLvlStrRef>
          </c:cat>
          <c:val>
            <c:numRef>
              <c:f>'Transportation Energy'!$I$109:$I$116</c:f>
              <c:numCache>
                <c:formatCode>General</c:formatCode>
                <c:ptCount val="8"/>
                <c:pt idx="2">
                  <c:v>0</c:v>
                </c:pt>
                <c:pt idx="3">
                  <c:v>25641701.055031002</c:v>
                </c:pt>
                <c:pt idx="6">
                  <c:v>180038.520964</c:v>
                </c:pt>
                <c:pt idx="7">
                  <c:v>180038.520964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0-448B-A24C-B446E435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50001"/>
        <c:axId val="50950002"/>
      </c:barChart>
      <c:catAx>
        <c:axId val="5095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50002"/>
        <c:crosses val="autoZero"/>
        <c:auto val="1"/>
        <c:lblAlgn val="ctr"/>
        <c:lblOffset val="100"/>
        <c:noMultiLvlLbl val="0"/>
      </c:catAx>
      <c:valAx>
        <c:axId val="5095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MMBTU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5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'Transportation Emissions'!$A$4</c:f>
              <c:strCache>
                <c:ptCount val="1"/>
                <c:pt idx="0">
                  <c:v>AltFuels</c:v>
                </c:pt>
              </c:strCache>
            </c:strRef>
          </c:tx>
          <c:spPr>
            <a:ln w="15875">
              <a:solidFill>
                <a:srgbClr val="203564"/>
              </a:solidFill>
            </a:ln>
          </c:spPr>
          <c:marker>
            <c:symbol val="none"/>
          </c:marker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Emissions'!$B$4:$AG$4</c:f>
              <c:numCache>
                <c:formatCode>General</c:formatCode>
                <c:ptCount val="32"/>
                <c:pt idx="0">
                  <c:v>48402588.316151001</c:v>
                </c:pt>
                <c:pt idx="1">
                  <c:v>47684410.857943997</c:v>
                </c:pt>
                <c:pt idx="2">
                  <c:v>45972431.488372996</c:v>
                </c:pt>
                <c:pt idx="3">
                  <c:v>44082285.326485001</c:v>
                </c:pt>
                <c:pt idx="4">
                  <c:v>42283146.960830003</c:v>
                </c:pt>
                <c:pt idx="5">
                  <c:v>40114476.184306003</c:v>
                </c:pt>
                <c:pt idx="6">
                  <c:v>37097488.948347002</c:v>
                </c:pt>
                <c:pt idx="7">
                  <c:v>34741906.992462002</c:v>
                </c:pt>
                <c:pt idx="8">
                  <c:v>32315733.241462</c:v>
                </c:pt>
                <c:pt idx="9">
                  <c:v>29871818.080673002</c:v>
                </c:pt>
                <c:pt idx="10">
                  <c:v>27511250.169123001</c:v>
                </c:pt>
                <c:pt idx="11">
                  <c:v>25381585.896701001</c:v>
                </c:pt>
                <c:pt idx="12">
                  <c:v>23496561.666869</c:v>
                </c:pt>
                <c:pt idx="13">
                  <c:v>21792690.782763001</c:v>
                </c:pt>
                <c:pt idx="14">
                  <c:v>20194434.054933</c:v>
                </c:pt>
                <c:pt idx="15">
                  <c:v>18510870.683389001</c:v>
                </c:pt>
                <c:pt idx="16">
                  <c:v>17017222.157217</c:v>
                </c:pt>
                <c:pt idx="17">
                  <c:v>15974814.610569</c:v>
                </c:pt>
                <c:pt idx="18">
                  <c:v>14940717.209171999</c:v>
                </c:pt>
                <c:pt idx="19">
                  <c:v>13948437.461154999</c:v>
                </c:pt>
                <c:pt idx="20">
                  <c:v>13192193.367798001</c:v>
                </c:pt>
                <c:pt idx="21">
                  <c:v>12491634.810074</c:v>
                </c:pt>
                <c:pt idx="22">
                  <c:v>11972629.517793</c:v>
                </c:pt>
                <c:pt idx="23">
                  <c:v>11489094.955050001</c:v>
                </c:pt>
                <c:pt idx="24">
                  <c:v>11051667.72487</c:v>
                </c:pt>
                <c:pt idx="25">
                  <c:v>10662871.660877001</c:v>
                </c:pt>
                <c:pt idx="26">
                  <c:v>10318966.786953</c:v>
                </c:pt>
                <c:pt idx="27">
                  <c:v>10034558.305865999</c:v>
                </c:pt>
                <c:pt idx="28">
                  <c:v>9788014.102062</c:v>
                </c:pt>
                <c:pt idx="29">
                  <c:v>9573531.3974399995</c:v>
                </c:pt>
                <c:pt idx="30">
                  <c:v>9384204.070923999</c:v>
                </c:pt>
                <c:pt idx="31">
                  <c:v>9211854.0132519994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5-4452-AEBC-E450B819394A}"/>
            </c:ext>
          </c:extLst>
        </c:ser>
        <c:ser>
          <c:idx val="1"/>
          <c:order val="1"/>
          <c:marker>
            <c:symbol val="circle"/>
            <c:size val="6"/>
            <c:spPr>
              <a:solidFill>
                <a:srgbClr val="203564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Emissions'!$B$4,'Transportation Emissions'!$B$2:$AF$2,'Transportation Emissions'!$AG$4)</c:f>
              <c:numCache>
                <c:formatCode>General</c:formatCode>
                <c:ptCount val="33"/>
                <c:pt idx="0">
                  <c:v>48402588.316151001</c:v>
                </c:pt>
                <c:pt idx="32">
                  <c:v>9211854.0132519994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5-4452-AEBC-E450B819394A}"/>
            </c:ext>
          </c:extLst>
        </c:ser>
        <c:ser>
          <c:idx val="2"/>
          <c:order val="2"/>
          <c:tx>
            <c:strRef>
              <c:f>'Transportation Emissions'!$A$5</c:f>
              <c:strCache>
                <c:ptCount val="1"/>
                <c:pt idx="0">
                  <c:v>BAP</c:v>
                </c:pt>
              </c:strCache>
            </c:strRef>
          </c:tx>
          <c:spPr>
            <a:ln w="15875">
              <a:solidFill>
                <a:srgbClr val="43AD4C"/>
              </a:solidFill>
            </a:ln>
          </c:spPr>
          <c:marker>
            <c:symbol val="none"/>
          </c:marker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Emissions'!$B$5:$AG$5</c:f>
              <c:numCache>
                <c:formatCode>General</c:formatCode>
                <c:ptCount val="32"/>
                <c:pt idx="0">
                  <c:v>48402588.316151001</c:v>
                </c:pt>
                <c:pt idx="1">
                  <c:v>47673078.694449998</c:v>
                </c:pt>
                <c:pt idx="2">
                  <c:v>46893053.484784</c:v>
                </c:pt>
                <c:pt idx="3">
                  <c:v>45886949.069118001</c:v>
                </c:pt>
                <c:pt idx="4">
                  <c:v>43602674.683847003</c:v>
                </c:pt>
                <c:pt idx="5">
                  <c:v>41086857.254972003</c:v>
                </c:pt>
                <c:pt idx="6">
                  <c:v>37835409.480659001</c:v>
                </c:pt>
                <c:pt idx="7">
                  <c:v>35269409.365947001</c:v>
                </c:pt>
                <c:pt idx="8">
                  <c:v>32701793.975008</c:v>
                </c:pt>
                <c:pt idx="9">
                  <c:v>30197146.858261</c:v>
                </c:pt>
                <c:pt idx="10">
                  <c:v>27851941.024245001</c:v>
                </c:pt>
                <c:pt idx="11">
                  <c:v>25786453.30601</c:v>
                </c:pt>
                <c:pt idx="12">
                  <c:v>24419177.633435</c:v>
                </c:pt>
                <c:pt idx="13">
                  <c:v>23208413.131434001</c:v>
                </c:pt>
                <c:pt idx="14">
                  <c:v>22091644.812778</c:v>
                </c:pt>
                <c:pt idx="15">
                  <c:v>20921864.735541001</c:v>
                </c:pt>
                <c:pt idx="16">
                  <c:v>19910084.698890001</c:v>
                </c:pt>
                <c:pt idx="17">
                  <c:v>18906178.113274001</c:v>
                </c:pt>
                <c:pt idx="18">
                  <c:v>17935608.690788001</c:v>
                </c:pt>
                <c:pt idx="19">
                  <c:v>17021516.821931001</c:v>
                </c:pt>
                <c:pt idx="20">
                  <c:v>16402321.984959001</c:v>
                </c:pt>
                <c:pt idx="21">
                  <c:v>15841096.775216</c:v>
                </c:pt>
                <c:pt idx="22">
                  <c:v>15143778.735377001</c:v>
                </c:pt>
                <c:pt idx="23">
                  <c:v>14518247.325797001</c:v>
                </c:pt>
                <c:pt idx="24">
                  <c:v>13963925.259981001</c:v>
                </c:pt>
                <c:pt idx="25">
                  <c:v>13474439.828187</c:v>
                </c:pt>
                <c:pt idx="26">
                  <c:v>13039632.480852</c:v>
                </c:pt>
                <c:pt idx="27">
                  <c:v>12674373.229418</c:v>
                </c:pt>
                <c:pt idx="28">
                  <c:v>12348467.213671001</c:v>
                </c:pt>
                <c:pt idx="29">
                  <c:v>12054289.494976999</c:v>
                </c:pt>
                <c:pt idx="30">
                  <c:v>11785560.159313999</c:v>
                </c:pt>
                <c:pt idx="31">
                  <c:v>11536511.517495001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85-4452-AEBC-E450B819394A}"/>
            </c:ext>
          </c:extLst>
        </c:ser>
        <c:ser>
          <c:idx val="3"/>
          <c:order val="3"/>
          <c:marker>
            <c:symbol val="circle"/>
            <c:size val="6"/>
            <c:spPr>
              <a:solidFill>
                <a:srgbClr val="43AD4C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Emissions'!$B$5,'Transportation Emissions'!$B$2:$AF$2,'Transportation Emissions'!$AG$5)</c:f>
              <c:numCache>
                <c:formatCode>General</c:formatCode>
                <c:ptCount val="33"/>
                <c:pt idx="0">
                  <c:v>48402588.316151001</c:v>
                </c:pt>
                <c:pt idx="32">
                  <c:v>11536511.517495001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85-4452-AEBC-E450B819394A}"/>
            </c:ext>
          </c:extLst>
        </c:ser>
        <c:ser>
          <c:idx val="4"/>
          <c:order val="4"/>
          <c:tx>
            <c:strRef>
              <c:f>'Transportation Emissions'!$A$6</c:f>
              <c:strCache>
                <c:ptCount val="1"/>
                <c:pt idx="0">
                  <c:v>BAU</c:v>
                </c:pt>
              </c:strCache>
            </c:strRef>
          </c:tx>
          <c:spPr>
            <a:ln w="15875">
              <a:solidFill>
                <a:srgbClr val="F2822E"/>
              </a:solidFill>
            </a:ln>
          </c:spPr>
          <c:marker>
            <c:symbol val="none"/>
          </c:marker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Emissions'!$B$6:$AG$6</c:f>
              <c:numCache>
                <c:formatCode>General</c:formatCode>
                <c:ptCount val="32"/>
                <c:pt idx="0">
                  <c:v>48402588.316151001</c:v>
                </c:pt>
                <c:pt idx="1">
                  <c:v>47827030.051931001</c:v>
                </c:pt>
                <c:pt idx="2">
                  <c:v>47830596.298179001</c:v>
                </c:pt>
                <c:pt idx="3">
                  <c:v>47596559.758052997</c:v>
                </c:pt>
                <c:pt idx="4">
                  <c:v>47435743.648103997</c:v>
                </c:pt>
                <c:pt idx="5">
                  <c:v>47038978.330510996</c:v>
                </c:pt>
                <c:pt idx="6">
                  <c:v>45831386.516795002</c:v>
                </c:pt>
                <c:pt idx="7">
                  <c:v>45151477.080537997</c:v>
                </c:pt>
                <c:pt idx="8">
                  <c:v>44409426.765644997</c:v>
                </c:pt>
                <c:pt idx="9">
                  <c:v>43673122.809097998</c:v>
                </c:pt>
                <c:pt idx="10">
                  <c:v>43026629.264275998</c:v>
                </c:pt>
                <c:pt idx="11">
                  <c:v>42639847.966335997</c:v>
                </c:pt>
                <c:pt idx="12">
                  <c:v>42419399.54569</c:v>
                </c:pt>
                <c:pt idx="13">
                  <c:v>42354132.220820002</c:v>
                </c:pt>
                <c:pt idx="14">
                  <c:v>42362989.04665</c:v>
                </c:pt>
                <c:pt idx="15">
                  <c:v>42253916.063537002</c:v>
                </c:pt>
                <c:pt idx="16">
                  <c:v>42310950.936210997</c:v>
                </c:pt>
                <c:pt idx="17">
                  <c:v>42325667.236492001</c:v>
                </c:pt>
                <c:pt idx="18">
                  <c:v>42338862.986478999</c:v>
                </c:pt>
                <c:pt idx="19">
                  <c:v>42365078.718211003</c:v>
                </c:pt>
                <c:pt idx="20">
                  <c:v>42422641.770437002</c:v>
                </c:pt>
                <c:pt idx="21">
                  <c:v>42507903.198028997</c:v>
                </c:pt>
                <c:pt idx="22">
                  <c:v>42574202.925690003</c:v>
                </c:pt>
                <c:pt idx="23">
                  <c:v>42632012.453723997</c:v>
                </c:pt>
                <c:pt idx="24">
                  <c:v>42685388.788057998</c:v>
                </c:pt>
                <c:pt idx="25">
                  <c:v>42743546.740372002</c:v>
                </c:pt>
                <c:pt idx="26">
                  <c:v>42813316.007045001</c:v>
                </c:pt>
                <c:pt idx="27">
                  <c:v>42901543.419941999</c:v>
                </c:pt>
                <c:pt idx="28">
                  <c:v>43011426.754516996</c:v>
                </c:pt>
                <c:pt idx="29">
                  <c:v>43144103.409061</c:v>
                </c:pt>
                <c:pt idx="30">
                  <c:v>43297141.727076001</c:v>
                </c:pt>
                <c:pt idx="31">
                  <c:v>43460056.976441003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85-4452-AEBC-E450B819394A}"/>
            </c:ext>
          </c:extLst>
        </c:ser>
        <c:ser>
          <c:idx val="5"/>
          <c:order val="5"/>
          <c:marker>
            <c:symbol val="circle"/>
            <c:size val="6"/>
            <c:spPr>
              <a:solidFill>
                <a:srgbClr val="F282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Emissions'!$B$6,'Transportation Emissions'!$B$2:$AF$2,'Transportation Emissions'!$AG$6)</c:f>
              <c:numCache>
                <c:formatCode>General</c:formatCode>
                <c:ptCount val="33"/>
                <c:pt idx="0">
                  <c:v>48402588.316151001</c:v>
                </c:pt>
                <c:pt idx="32">
                  <c:v>43460056.976441003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85-4452-AEBC-E450B819394A}"/>
            </c:ext>
          </c:extLst>
        </c:ser>
        <c:ser>
          <c:idx val="6"/>
          <c:order val="6"/>
          <c:tx>
            <c:strRef>
              <c:f>'Transportation Emissions'!$A$7</c:f>
              <c:strCache>
                <c:ptCount val="1"/>
                <c:pt idx="0">
                  <c:v>Elec</c:v>
                </c:pt>
              </c:strCache>
            </c:strRef>
          </c:tx>
          <c:spPr>
            <a:ln w="15875">
              <a:solidFill>
                <a:srgbClr val="E7C92E"/>
              </a:solidFill>
            </a:ln>
          </c:spPr>
          <c:marker>
            <c:symbol val="none"/>
          </c:marker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Emissions'!$B$7:$AG$7</c:f>
              <c:numCache>
                <c:formatCode>General</c:formatCode>
                <c:ptCount val="32"/>
                <c:pt idx="0">
                  <c:v>48402588.316151001</c:v>
                </c:pt>
                <c:pt idx="1">
                  <c:v>47680154.966900997</c:v>
                </c:pt>
                <c:pt idx="2">
                  <c:v>45949683.106274001</c:v>
                </c:pt>
                <c:pt idx="3">
                  <c:v>44051196.815537997</c:v>
                </c:pt>
                <c:pt idx="4">
                  <c:v>42250293.352484003</c:v>
                </c:pt>
                <c:pt idx="5">
                  <c:v>40086207.101287</c:v>
                </c:pt>
                <c:pt idx="6">
                  <c:v>36743989.899852999</c:v>
                </c:pt>
                <c:pt idx="7">
                  <c:v>34328560.39164</c:v>
                </c:pt>
                <c:pt idx="8">
                  <c:v>31846603.801075999</c:v>
                </c:pt>
                <c:pt idx="9">
                  <c:v>29350864.836417001</c:v>
                </c:pt>
                <c:pt idx="10">
                  <c:v>26945225.144010998</c:v>
                </c:pt>
                <c:pt idx="11">
                  <c:v>24782153.638941001</c:v>
                </c:pt>
                <c:pt idx="12">
                  <c:v>22869866.767287999</c:v>
                </c:pt>
                <c:pt idx="13">
                  <c:v>21142884.635492001</c:v>
                </c:pt>
                <c:pt idx="14">
                  <c:v>19525756.20891</c:v>
                </c:pt>
                <c:pt idx="15">
                  <c:v>17827414.401404001</c:v>
                </c:pt>
                <c:pt idx="16">
                  <c:v>16324907.285944</c:v>
                </c:pt>
                <c:pt idx="17">
                  <c:v>15318667.787156001</c:v>
                </c:pt>
                <c:pt idx="18">
                  <c:v>14320718.699232999</c:v>
                </c:pt>
                <c:pt idx="19">
                  <c:v>13364871.706567001</c:v>
                </c:pt>
                <c:pt idx="20">
                  <c:v>12645696.341058001</c:v>
                </c:pt>
                <c:pt idx="21">
                  <c:v>11983640.857341001</c:v>
                </c:pt>
                <c:pt idx="22">
                  <c:v>11505726.857825</c:v>
                </c:pt>
                <c:pt idx="23">
                  <c:v>11062977.188049</c:v>
                </c:pt>
                <c:pt idx="24">
                  <c:v>10665941.333456</c:v>
                </c:pt>
                <c:pt idx="25">
                  <c:v>10317248.519347001</c:v>
                </c:pt>
                <c:pt idx="26">
                  <c:v>10012531.393316999</c:v>
                </c:pt>
                <c:pt idx="27">
                  <c:v>9767364.004776001</c:v>
                </c:pt>
                <c:pt idx="28">
                  <c:v>9560773.4215350002</c:v>
                </c:pt>
                <c:pt idx="29">
                  <c:v>9386946.0078810006</c:v>
                </c:pt>
                <c:pt idx="30">
                  <c:v>9239131.9881800003</c:v>
                </c:pt>
                <c:pt idx="31">
                  <c:v>9108570.1662249994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85-4452-AEBC-E450B819394A}"/>
            </c:ext>
          </c:extLst>
        </c:ser>
        <c:ser>
          <c:idx val="7"/>
          <c:order val="7"/>
          <c:marker>
            <c:symbol val="circle"/>
            <c:size val="6"/>
            <c:spPr>
              <a:solidFill>
                <a:srgbClr val="E7C92E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Emissions'!$B$7,'Transportation Emissions'!$B$2:$AF$2,'Transportation Emissions'!$AG$7)</c:f>
              <c:numCache>
                <c:formatCode>General</c:formatCode>
                <c:ptCount val="33"/>
                <c:pt idx="0">
                  <c:v>48402588.316151001</c:v>
                </c:pt>
                <c:pt idx="32">
                  <c:v>9108570.1662249994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85-4452-AEBC-E450B819394A}"/>
            </c:ext>
          </c:extLst>
        </c:ser>
        <c:ser>
          <c:idx val="8"/>
          <c:order val="8"/>
          <c:tx>
            <c:strRef>
              <c:f>'Transportation Emissions'!$A$8</c:f>
              <c:strCache>
                <c:ptCount val="1"/>
                <c:pt idx="0">
                  <c:v>Hybrid</c:v>
                </c:pt>
              </c:strCache>
            </c:strRef>
          </c:tx>
          <c:spPr>
            <a:ln w="15875">
              <a:solidFill>
                <a:srgbClr val="D55BA0"/>
              </a:solidFill>
            </a:ln>
          </c:spPr>
          <c:marker>
            <c:symbol val="none"/>
          </c:marker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Emissions'!$B$8:$AG$8</c:f>
              <c:numCache>
                <c:formatCode>General</c:formatCode>
                <c:ptCount val="32"/>
                <c:pt idx="0">
                  <c:v>48402588.316151001</c:v>
                </c:pt>
                <c:pt idx="1">
                  <c:v>47684410.857943997</c:v>
                </c:pt>
                <c:pt idx="2">
                  <c:v>45972431.488372996</c:v>
                </c:pt>
                <c:pt idx="3">
                  <c:v>44082285.326485001</c:v>
                </c:pt>
                <c:pt idx="4">
                  <c:v>42281648.087261997</c:v>
                </c:pt>
                <c:pt idx="5">
                  <c:v>40111146.361135997</c:v>
                </c:pt>
                <c:pt idx="6">
                  <c:v>37084099.186255999</c:v>
                </c:pt>
                <c:pt idx="7">
                  <c:v>34722361.488109</c:v>
                </c:pt>
                <c:pt idx="8">
                  <c:v>32289870.412544001</c:v>
                </c:pt>
                <c:pt idx="9">
                  <c:v>29840785.322569001</c:v>
                </c:pt>
                <c:pt idx="10">
                  <c:v>27478900.398892</c:v>
                </c:pt>
                <c:pt idx="11">
                  <c:v>25353352.151618</c:v>
                </c:pt>
                <c:pt idx="12">
                  <c:v>23463790.821299002</c:v>
                </c:pt>
                <c:pt idx="13">
                  <c:v>21755936.280131001</c:v>
                </c:pt>
                <c:pt idx="14">
                  <c:v>20154289.829914998</c:v>
                </c:pt>
                <c:pt idx="15">
                  <c:v>18467654.514591999</c:v>
                </c:pt>
                <c:pt idx="16">
                  <c:v>16972566.663963001</c:v>
                </c:pt>
                <c:pt idx="17">
                  <c:v>15933322.982652999</c:v>
                </c:pt>
                <c:pt idx="18">
                  <c:v>14903105.914407</c:v>
                </c:pt>
                <c:pt idx="19">
                  <c:v>13915582.707257001</c:v>
                </c:pt>
                <c:pt idx="20">
                  <c:v>13165066.799035</c:v>
                </c:pt>
                <c:pt idx="21">
                  <c:v>12471547.167176999</c:v>
                </c:pt>
                <c:pt idx="22">
                  <c:v>11961256.588096</c:v>
                </c:pt>
                <c:pt idx="23">
                  <c:v>11486877.182390001</c:v>
                </c:pt>
                <c:pt idx="24">
                  <c:v>11058878.623224</c:v>
                </c:pt>
                <c:pt idx="25">
                  <c:v>10679715.827176999</c:v>
                </c:pt>
                <c:pt idx="26">
                  <c:v>10345265.457443999</c:v>
                </c:pt>
                <c:pt idx="27">
                  <c:v>10060855.389257001</c:v>
                </c:pt>
                <c:pt idx="28">
                  <c:v>9814277.1537309997</c:v>
                </c:pt>
                <c:pt idx="29">
                  <c:v>9599738.9332669992</c:v>
                </c:pt>
                <c:pt idx="30">
                  <c:v>9410447.1295940001</c:v>
                </c:pt>
                <c:pt idx="31">
                  <c:v>9237893.3382529989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85-4452-AEBC-E450B819394A}"/>
            </c:ext>
          </c:extLst>
        </c:ser>
        <c:ser>
          <c:idx val="9"/>
          <c:order val="9"/>
          <c:marker>
            <c:symbol val="circle"/>
            <c:size val="6"/>
            <c:spPr>
              <a:solidFill>
                <a:srgbClr val="D55BA0"/>
              </a:solidFill>
              <a:ln w="12700">
                <a:solidFill>
                  <a:srgbClr val="FFFFFF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'Transportation Emissions'!$B$3:$AG$3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('Transportation Emissions'!$B$8,'Transportation Emissions'!$B$2:$AF$2,'Transportation Emissions'!$AG$8)</c:f>
              <c:numCache>
                <c:formatCode>General</c:formatCode>
                <c:ptCount val="33"/>
                <c:pt idx="0">
                  <c:v>48402588.316151001</c:v>
                </c:pt>
                <c:pt idx="32">
                  <c:v>9237893.3382529989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B85-4452-AEBC-E450B819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60001"/>
        <c:axId val="50960002"/>
      </c:lineChart>
      <c:catAx>
        <c:axId val="5096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60002"/>
        <c:crosses val="autoZero"/>
        <c:auto val="1"/>
        <c:lblAlgn val="ctr"/>
        <c:lblOffset val="100"/>
        <c:tickLblSkip val="2"/>
        <c:noMultiLvlLbl val="0"/>
      </c:catAx>
      <c:valAx>
        <c:axId val="5096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60001"/>
        <c:crosses val="autoZero"/>
        <c:crossBetween val="between"/>
        <c:dispUnits>
          <c:builtInUnit val="millions"/>
        </c:dispUnits>
      </c:valAx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egendEntry>
        <c:idx val="9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Emissions'!$B$13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Emissions'!$C$13:$AH$13</c:f>
              <c:numCache>
                <c:formatCode>General</c:formatCode>
                <c:ptCount val="32"/>
                <c:pt idx="0">
                  <c:v>24286308.891982999</c:v>
                </c:pt>
                <c:pt idx="1">
                  <c:v>24217943.462678999</c:v>
                </c:pt>
                <c:pt idx="2">
                  <c:v>23166377.845747001</c:v>
                </c:pt>
                <c:pt idx="3">
                  <c:v>21963035.646635</c:v>
                </c:pt>
                <c:pt idx="4">
                  <c:v>20837067.970493</c:v>
                </c:pt>
                <c:pt idx="5">
                  <c:v>19453875.419456001</c:v>
                </c:pt>
                <c:pt idx="6">
                  <c:v>17345272.325438</c:v>
                </c:pt>
                <c:pt idx="7">
                  <c:v>15824554.883357</c:v>
                </c:pt>
                <c:pt idx="8">
                  <c:v>14200709.704685999</c:v>
                </c:pt>
                <c:pt idx="9">
                  <c:v>12547848.453841999</c:v>
                </c:pt>
                <c:pt idx="10">
                  <c:v>10970821.588680999</c:v>
                </c:pt>
                <c:pt idx="11">
                  <c:v>9602140.3985329997</c:v>
                </c:pt>
                <c:pt idx="12">
                  <c:v>8439760.0416030008</c:v>
                </c:pt>
                <c:pt idx="13">
                  <c:v>7435526.5616680002</c:v>
                </c:pt>
                <c:pt idx="14">
                  <c:v>6526361.2518730015</c:v>
                </c:pt>
                <c:pt idx="15">
                  <c:v>5532053.8401549999</c:v>
                </c:pt>
                <c:pt idx="16">
                  <c:v>4700136.9926760001</c:v>
                </c:pt>
                <c:pt idx="17">
                  <c:v>4104682.559711</c:v>
                </c:pt>
                <c:pt idx="18">
                  <c:v>3513065.8818410002</c:v>
                </c:pt>
                <c:pt idx="19">
                  <c:v>2955846.9927139999</c:v>
                </c:pt>
                <c:pt idx="20">
                  <c:v>2488008.96942</c:v>
                </c:pt>
                <c:pt idx="21">
                  <c:v>2071096.377749</c:v>
                </c:pt>
                <c:pt idx="22">
                  <c:v>1698902.039568</c:v>
                </c:pt>
                <c:pt idx="23">
                  <c:v>1360282.0945969999</c:v>
                </c:pt>
                <c:pt idx="24">
                  <c:v>1064795.5231639999</c:v>
                </c:pt>
                <c:pt idx="25">
                  <c:v>814465.20001000003</c:v>
                </c:pt>
                <c:pt idx="26">
                  <c:v>606112.20495499996</c:v>
                </c:pt>
                <c:pt idx="27">
                  <c:v>435967.40049099998</c:v>
                </c:pt>
                <c:pt idx="28">
                  <c:v>300082.681706</c:v>
                </c:pt>
                <c:pt idx="29">
                  <c:v>193213.485739</c:v>
                </c:pt>
                <c:pt idx="30">
                  <c:v>109065.75738900001</c:v>
                </c:pt>
                <c:pt idx="31">
                  <c:v>40572.458707999998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1-4C6A-9C17-539DA4B52759}"/>
            </c:ext>
          </c:extLst>
        </c:ser>
        <c:ser>
          <c:idx val="1"/>
          <c:order val="1"/>
          <c:tx>
            <c:strRef>
              <c:f>'Transportation Emissions'!$B$12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Emissions'!$C$12:$AH$12</c:f>
              <c:numCache>
                <c:formatCode>General</c:formatCode>
                <c:ptCount val="32"/>
                <c:pt idx="0">
                  <c:v>16213787.265347</c:v>
                </c:pt>
                <c:pt idx="1">
                  <c:v>15531021.755192</c:v>
                </c:pt>
                <c:pt idx="2">
                  <c:v>14818262.868488999</c:v>
                </c:pt>
                <c:pt idx="3">
                  <c:v>14088079.797666</c:v>
                </c:pt>
                <c:pt idx="4">
                  <c:v>13373052.170359001</c:v>
                </c:pt>
                <c:pt idx="5">
                  <c:v>12528839.470874</c:v>
                </c:pt>
                <c:pt idx="6">
                  <c:v>11750046.127835</c:v>
                </c:pt>
                <c:pt idx="7">
                  <c:v>10923793.472943</c:v>
                </c:pt>
                <c:pt idx="8">
                  <c:v>10137826.048010999</c:v>
                </c:pt>
                <c:pt idx="9">
                  <c:v>9372473.1312189996</c:v>
                </c:pt>
                <c:pt idx="10">
                  <c:v>8628279.5278999992</c:v>
                </c:pt>
                <c:pt idx="11">
                  <c:v>7917861.3619139995</c:v>
                </c:pt>
                <c:pt idx="12">
                  <c:v>7235564.9679199997</c:v>
                </c:pt>
                <c:pt idx="13">
                  <c:v>6584523.6254169997</c:v>
                </c:pt>
                <c:pt idx="14">
                  <c:v>5951586.3310099998</c:v>
                </c:pt>
                <c:pt idx="15">
                  <c:v>5324068.8109499998</c:v>
                </c:pt>
                <c:pt idx="16">
                  <c:v>4732364.2953940006</c:v>
                </c:pt>
                <c:pt idx="17">
                  <c:v>4407525.6759230001</c:v>
                </c:pt>
                <c:pt idx="18">
                  <c:v>4088348.9270120002</c:v>
                </c:pt>
                <c:pt idx="19">
                  <c:v>3778516.763572</c:v>
                </c:pt>
                <c:pt idx="20">
                  <c:v>3529888.5391799998</c:v>
                </c:pt>
                <c:pt idx="21">
                  <c:v>3287976.015588</c:v>
                </c:pt>
                <c:pt idx="22">
                  <c:v>3185261.4769580001</c:v>
                </c:pt>
                <c:pt idx="23">
                  <c:v>3087191.413780001</c:v>
                </c:pt>
                <c:pt idx="24">
                  <c:v>2994912.8888920001</c:v>
                </c:pt>
                <c:pt idx="25">
                  <c:v>2908653.57063</c:v>
                </c:pt>
                <c:pt idx="26">
                  <c:v>2827993.6287750001</c:v>
                </c:pt>
                <c:pt idx="27">
                  <c:v>2752520.5133659998</c:v>
                </c:pt>
                <c:pt idx="28">
                  <c:v>2681628.98728</c:v>
                </c:pt>
                <c:pt idx="29">
                  <c:v>2614682.5263060001</c:v>
                </c:pt>
                <c:pt idx="30">
                  <c:v>2550913.961995</c:v>
                </c:pt>
                <c:pt idx="31">
                  <c:v>2489451.1468270002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1-4C6A-9C17-539DA4B52759}"/>
            </c:ext>
          </c:extLst>
        </c:ser>
        <c:ser>
          <c:idx val="2"/>
          <c:order val="2"/>
          <c:tx>
            <c:strRef>
              <c:f>'Transportation Emissions'!$B$15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Emissions'!$C$15:$AH$15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7785012.07424</c:v>
                </c:pt>
                <c:pt idx="3">
                  <c:v>7697540.2657160005</c:v>
                </c:pt>
                <c:pt idx="4">
                  <c:v>7610068.4571930002</c:v>
                </c:pt>
                <c:pt idx="5">
                  <c:v>7522596.1794330003</c:v>
                </c:pt>
                <c:pt idx="6">
                  <c:v>7435123.9016730003</c:v>
                </c:pt>
                <c:pt idx="7">
                  <c:v>7347652.0931489998</c:v>
                </c:pt>
                <c:pt idx="8">
                  <c:v>7260180.2846259996</c:v>
                </c:pt>
                <c:pt idx="9">
                  <c:v>7172708.0068650004</c:v>
                </c:pt>
                <c:pt idx="10">
                  <c:v>7085235.7291050004</c:v>
                </c:pt>
                <c:pt idx="11">
                  <c:v>6997763.9205820002</c:v>
                </c:pt>
                <c:pt idx="12">
                  <c:v>6910292.1120579997</c:v>
                </c:pt>
                <c:pt idx="13">
                  <c:v>6822819.8342979997</c:v>
                </c:pt>
                <c:pt idx="14">
                  <c:v>6735347.5565379998</c:v>
                </c:pt>
                <c:pt idx="15">
                  <c:v>6647875.7480149996</c:v>
                </c:pt>
                <c:pt idx="16">
                  <c:v>6560403.939491</c:v>
                </c:pt>
                <c:pt idx="17">
                  <c:v>6472931.6617310001</c:v>
                </c:pt>
                <c:pt idx="18">
                  <c:v>6385459.3839710001</c:v>
                </c:pt>
                <c:pt idx="19">
                  <c:v>6297987.5754469996</c:v>
                </c:pt>
                <c:pt idx="20">
                  <c:v>6297987.5754469996</c:v>
                </c:pt>
                <c:pt idx="21">
                  <c:v>6297987.5754469996</c:v>
                </c:pt>
                <c:pt idx="22">
                  <c:v>6297987.5754469996</c:v>
                </c:pt>
                <c:pt idx="23">
                  <c:v>6297987.5754469996</c:v>
                </c:pt>
                <c:pt idx="24">
                  <c:v>6297987.5754469996</c:v>
                </c:pt>
                <c:pt idx="25">
                  <c:v>6297987.5754469996</c:v>
                </c:pt>
                <c:pt idx="26">
                  <c:v>6297987.5754469996</c:v>
                </c:pt>
                <c:pt idx="27">
                  <c:v>6297987.5754469996</c:v>
                </c:pt>
                <c:pt idx="28">
                  <c:v>6297987.5754469996</c:v>
                </c:pt>
                <c:pt idx="29">
                  <c:v>6297987.5754469996</c:v>
                </c:pt>
                <c:pt idx="30">
                  <c:v>6297987.5754469996</c:v>
                </c:pt>
                <c:pt idx="3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51-4C6A-9C17-539DA4B52759}"/>
            </c:ext>
          </c:extLst>
        </c:ser>
        <c:ser>
          <c:idx val="3"/>
          <c:order val="3"/>
          <c:tx>
            <c:strRef>
              <c:f>'Transportation Emissions'!$B$14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Emissions'!$C$14:$AH$14</c:f>
              <c:numCache>
                <c:formatCode>General</c:formatCode>
                <c:ptCount val="32"/>
                <c:pt idx="0">
                  <c:v>19106.891037000001</c:v>
                </c:pt>
                <c:pt idx="1">
                  <c:v>47804.481246000003</c:v>
                </c:pt>
                <c:pt idx="2">
                  <c:v>169232.88378900001</c:v>
                </c:pt>
                <c:pt idx="3">
                  <c:v>291847.15272700001</c:v>
                </c:pt>
                <c:pt idx="4">
                  <c:v>419514.28286500002</c:v>
                </c:pt>
                <c:pt idx="5">
                  <c:v>570409.04172199999</c:v>
                </c:pt>
                <c:pt idx="6">
                  <c:v>203164.03688199999</c:v>
                </c:pt>
                <c:pt idx="7">
                  <c:v>222279.915385</c:v>
                </c:pt>
                <c:pt idx="8">
                  <c:v>237711.218165</c:v>
                </c:pt>
                <c:pt idx="9">
                  <c:v>247762.180678</c:v>
                </c:pt>
                <c:pt idx="10">
                  <c:v>250918.71628600001</c:v>
                </c:pt>
                <c:pt idx="11">
                  <c:v>254521.85709100001</c:v>
                </c:pt>
                <c:pt idx="12">
                  <c:v>274487.026105</c:v>
                </c:pt>
                <c:pt idx="13">
                  <c:v>290355.47627899999</c:v>
                </c:pt>
                <c:pt idx="14">
                  <c:v>302905.41343399999</c:v>
                </c:pt>
                <c:pt idx="15">
                  <c:v>313963.82744999998</c:v>
                </c:pt>
                <c:pt idx="16">
                  <c:v>322653.364764</c:v>
                </c:pt>
                <c:pt idx="17">
                  <c:v>324282.67794899998</c:v>
                </c:pt>
                <c:pt idx="18">
                  <c:v>324702.77633800003</c:v>
                </c:pt>
                <c:pt idx="19">
                  <c:v>323482.12598399998</c:v>
                </c:pt>
                <c:pt idx="20">
                  <c:v>320773.00816099998</c:v>
                </c:pt>
                <c:pt idx="21">
                  <c:v>317542.63970699999</c:v>
                </c:pt>
                <c:pt idx="22">
                  <c:v>314537.51700200001</c:v>
                </c:pt>
                <c:pt idx="23">
                  <c:v>308477.85537499998</c:v>
                </c:pt>
                <c:pt idx="24">
                  <c:v>299207.09710299998</c:v>
                </c:pt>
                <c:pt idx="25">
                  <c:v>287103.92440999998</c:v>
                </c:pt>
                <c:pt idx="26">
                  <c:v>271399.73528999998</c:v>
                </c:pt>
                <c:pt idx="27">
                  <c:v>271850.26662200002</c:v>
                </c:pt>
                <c:pt idx="28">
                  <c:v>272035.92825200001</c:v>
                </c:pt>
                <c:pt idx="29">
                  <c:v>272024.171539</c:v>
                </c:pt>
                <c:pt idx="30">
                  <c:v>272126.44449899998</c:v>
                </c:pt>
                <c:pt idx="31">
                  <c:v>271520.736393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51-4C6A-9C17-539DA4B52759}"/>
            </c:ext>
          </c:extLst>
        </c:ser>
        <c:ser>
          <c:idx val="4"/>
          <c:order val="4"/>
          <c:tx>
            <c:strRef>
              <c:f>'Transportation Emissions'!$B$16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Emissions'!$C$16:$AH$16</c:f>
              <c:numCache>
                <c:formatCode>General</c:formatCode>
                <c:ptCount val="32"/>
                <c:pt idx="0">
                  <c:v>10900.915784000001</c:v>
                </c:pt>
                <c:pt idx="1">
                  <c:v>10900.915784000001</c:v>
                </c:pt>
                <c:pt idx="2">
                  <c:v>10797.434009000001</c:v>
                </c:pt>
                <c:pt idx="3">
                  <c:v>10693.952794000001</c:v>
                </c:pt>
                <c:pt idx="4">
                  <c:v>10590.471573999999</c:v>
                </c:pt>
                <c:pt idx="5">
                  <c:v>10486.989802</c:v>
                </c:pt>
                <c:pt idx="6">
                  <c:v>10383.508024999999</c:v>
                </c:pt>
                <c:pt idx="7">
                  <c:v>10280.026806</c:v>
                </c:pt>
                <c:pt idx="8">
                  <c:v>10176.545588000001</c:v>
                </c:pt>
                <c:pt idx="9">
                  <c:v>10073.063813000001</c:v>
                </c:pt>
                <c:pt idx="10">
                  <c:v>9969.5820390000008</c:v>
                </c:pt>
                <c:pt idx="11">
                  <c:v>9866.100821</c:v>
                </c:pt>
                <c:pt idx="12">
                  <c:v>9762.6196020000007</c:v>
                </c:pt>
                <c:pt idx="13">
                  <c:v>9659.1378299999997</c:v>
                </c:pt>
                <c:pt idx="14">
                  <c:v>9555.6560549999995</c:v>
                </c:pt>
                <c:pt idx="15">
                  <c:v>9452.1748339999995</c:v>
                </c:pt>
                <c:pt idx="16">
                  <c:v>9348.6936189999997</c:v>
                </c:pt>
                <c:pt idx="17">
                  <c:v>9245.2118420000006</c:v>
                </c:pt>
                <c:pt idx="18">
                  <c:v>9141.730071</c:v>
                </c:pt>
                <c:pt idx="19">
                  <c:v>9038.2488499999999</c:v>
                </c:pt>
                <c:pt idx="20">
                  <c:v>9038.2488499999999</c:v>
                </c:pt>
                <c:pt idx="21">
                  <c:v>9038.2488499999999</c:v>
                </c:pt>
                <c:pt idx="22">
                  <c:v>9038.2488499999999</c:v>
                </c:pt>
                <c:pt idx="23">
                  <c:v>9038.2488499999999</c:v>
                </c:pt>
                <c:pt idx="24">
                  <c:v>9038.2488499999999</c:v>
                </c:pt>
                <c:pt idx="25">
                  <c:v>9038.2488499999999</c:v>
                </c:pt>
                <c:pt idx="26">
                  <c:v>9038.2488499999999</c:v>
                </c:pt>
                <c:pt idx="27">
                  <c:v>9038.2488499999999</c:v>
                </c:pt>
                <c:pt idx="28">
                  <c:v>9038.2488499999999</c:v>
                </c:pt>
                <c:pt idx="29">
                  <c:v>9038.2488499999999</c:v>
                </c:pt>
                <c:pt idx="30">
                  <c:v>9038.2488499999999</c:v>
                </c:pt>
                <c:pt idx="31">
                  <c:v>9038.2488499999999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51-4C6A-9C17-539DA4B52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70001"/>
        <c:axId val="50970002"/>
      </c:areaChart>
      <c:catAx>
        <c:axId val="5097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70002"/>
        <c:crosses val="autoZero"/>
        <c:auto val="1"/>
        <c:lblAlgn val="ctr"/>
        <c:lblOffset val="100"/>
        <c:tickLblSkip val="2"/>
        <c:noMultiLvlLbl val="0"/>
      </c:catAx>
      <c:valAx>
        <c:axId val="5097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7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'Transportation Emissions'!$B$13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Emissions'!$C$13,'Transportation Emissions'!$AH$13)</c:f>
              <c:numCache>
                <c:formatCode>General</c:formatCode>
                <c:ptCount val="2"/>
                <c:pt idx="0">
                  <c:v>24286308.891982999</c:v>
                </c:pt>
                <c:pt idx="1">
                  <c:v>40572.458707999998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A-46AF-B77F-1D390B4C1D5B}"/>
            </c:ext>
          </c:extLst>
        </c:ser>
        <c:ser>
          <c:idx val="1"/>
          <c:order val="1"/>
          <c:tx>
            <c:strRef>
              <c:f>'Transportation Emissions'!$B$12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Emissions'!$C$12,'Transportation Emissions'!$AH$12)</c:f>
              <c:numCache>
                <c:formatCode>General</c:formatCode>
                <c:ptCount val="2"/>
                <c:pt idx="0">
                  <c:v>16213787.265347</c:v>
                </c:pt>
                <c:pt idx="1">
                  <c:v>2489451.1468270002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A-46AF-B77F-1D390B4C1D5B}"/>
            </c:ext>
          </c:extLst>
        </c:ser>
        <c:ser>
          <c:idx val="2"/>
          <c:order val="2"/>
          <c:tx>
            <c:strRef>
              <c:f>'Transportation Emissions'!$B$15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Emissions'!$C$15,'Transportation Emissions'!$AH$15)</c:f>
              <c:numCache>
                <c:formatCode>General</c:formatCode>
                <c:ptCount val="2"/>
                <c:pt idx="0">
                  <c:v>7872484.352</c:v>
                </c:pt>
                <c:pt idx="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A-46AF-B77F-1D390B4C1D5B}"/>
            </c:ext>
          </c:extLst>
        </c:ser>
        <c:ser>
          <c:idx val="3"/>
          <c:order val="3"/>
          <c:tx>
            <c:strRef>
              <c:f>'Transportation Emissions'!$B$14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Emissions'!$C$14,'Transportation Emissions'!$AH$14)</c:f>
              <c:numCache>
                <c:formatCode>General</c:formatCode>
                <c:ptCount val="2"/>
                <c:pt idx="0">
                  <c:v>19106.891037000001</c:v>
                </c:pt>
                <c:pt idx="1">
                  <c:v>271520.736393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1A-46AF-B77F-1D390B4C1D5B}"/>
            </c:ext>
          </c:extLst>
        </c:ser>
        <c:ser>
          <c:idx val="4"/>
          <c:order val="4"/>
          <c:tx>
            <c:strRef>
              <c:f>'Transportation Emissions'!$B$16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invertIfNegative val="0"/>
          <c:cat>
            <c:numRef>
              <c:f>('Transportation Emissions'!$C$11,'Transportation Emissions'!$AH$11)</c:f>
              <c:numCache>
                <c:formatCode>General</c:formatCode>
                <c:ptCount val="2"/>
                <c:pt idx="0">
                  <c:v>2019</c:v>
                </c:pt>
                <c:pt idx="1">
                  <c:v>2050</c:v>
                </c:pt>
              </c:numCache>
            </c:numRef>
          </c:cat>
          <c:val>
            <c:numRef>
              <c:f>('Transportation Emissions'!$C$16,'Transportation Emissions'!$AH$16)</c:f>
              <c:numCache>
                <c:formatCode>General</c:formatCode>
                <c:ptCount val="2"/>
                <c:pt idx="0">
                  <c:v>10900.915784000001</c:v>
                </c:pt>
                <c:pt idx="1">
                  <c:v>9038.2488499999999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1A-46AF-B77F-1D390B4C1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980001"/>
        <c:axId val="50980002"/>
      </c:barChart>
      <c:catAx>
        <c:axId val="5098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80002"/>
        <c:crosses val="autoZero"/>
        <c:auto val="1"/>
        <c:lblAlgn val="ctr"/>
        <c:lblOffset val="100"/>
        <c:noMultiLvlLbl val="0"/>
      </c:catAx>
      <c:valAx>
        <c:axId val="5098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80001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'Transportation Emissions'!$B$19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1B65A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Emissions'!$C$19:$AH$19</c:f>
              <c:numCache>
                <c:formatCode>General</c:formatCode>
                <c:ptCount val="32"/>
                <c:pt idx="0">
                  <c:v>24286308.891982999</c:v>
                </c:pt>
                <c:pt idx="1">
                  <c:v>24217943.462678999</c:v>
                </c:pt>
                <c:pt idx="2">
                  <c:v>23166377.845747001</c:v>
                </c:pt>
                <c:pt idx="3">
                  <c:v>21963035.646635</c:v>
                </c:pt>
                <c:pt idx="4">
                  <c:v>20837067.970493</c:v>
                </c:pt>
                <c:pt idx="5">
                  <c:v>19453875.419456001</c:v>
                </c:pt>
                <c:pt idx="6">
                  <c:v>17345272.325438</c:v>
                </c:pt>
                <c:pt idx="7">
                  <c:v>15824554.883357</c:v>
                </c:pt>
                <c:pt idx="8">
                  <c:v>14200709.704685999</c:v>
                </c:pt>
                <c:pt idx="9">
                  <c:v>12547848.453841999</c:v>
                </c:pt>
                <c:pt idx="10">
                  <c:v>10970821.588680999</c:v>
                </c:pt>
                <c:pt idx="11">
                  <c:v>9602140.3985329997</c:v>
                </c:pt>
                <c:pt idx="12">
                  <c:v>8439760.0416030008</c:v>
                </c:pt>
                <c:pt idx="13">
                  <c:v>7435526.5616680002</c:v>
                </c:pt>
                <c:pt idx="14">
                  <c:v>6526361.2518730015</c:v>
                </c:pt>
                <c:pt idx="15">
                  <c:v>5532053.8401549999</c:v>
                </c:pt>
                <c:pt idx="16">
                  <c:v>4700136.9926760001</c:v>
                </c:pt>
                <c:pt idx="17">
                  <c:v>4104682.559711</c:v>
                </c:pt>
                <c:pt idx="18">
                  <c:v>3513065.8818410002</c:v>
                </c:pt>
                <c:pt idx="19">
                  <c:v>2955846.9927139999</c:v>
                </c:pt>
                <c:pt idx="20">
                  <c:v>2488008.96942</c:v>
                </c:pt>
                <c:pt idx="21">
                  <c:v>2071096.377749</c:v>
                </c:pt>
                <c:pt idx="22">
                  <c:v>1698902.039568</c:v>
                </c:pt>
                <c:pt idx="23">
                  <c:v>1360282.0945969999</c:v>
                </c:pt>
                <c:pt idx="24">
                  <c:v>1064795.5231639999</c:v>
                </c:pt>
                <c:pt idx="25">
                  <c:v>814465.20001000003</c:v>
                </c:pt>
                <c:pt idx="26">
                  <c:v>606112.20495499996</c:v>
                </c:pt>
                <c:pt idx="27">
                  <c:v>435967.40049099998</c:v>
                </c:pt>
                <c:pt idx="28">
                  <c:v>300082.681706</c:v>
                </c:pt>
                <c:pt idx="29">
                  <c:v>193213.485739</c:v>
                </c:pt>
                <c:pt idx="30">
                  <c:v>109065.75738900001</c:v>
                </c:pt>
                <c:pt idx="31">
                  <c:v>40572.458707999998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2-4F5B-9340-EA5C8E26397B}"/>
            </c:ext>
          </c:extLst>
        </c:ser>
        <c:ser>
          <c:idx val="1"/>
          <c:order val="1"/>
          <c:tx>
            <c:strRef>
              <c:f>'Transportation Emissions'!$B$18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3AD4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Emissions'!$C$18:$AH$18</c:f>
              <c:numCache>
                <c:formatCode>General</c:formatCode>
                <c:ptCount val="32"/>
                <c:pt idx="0">
                  <c:v>16213787.265347</c:v>
                </c:pt>
                <c:pt idx="1">
                  <c:v>15531021.755192</c:v>
                </c:pt>
                <c:pt idx="2">
                  <c:v>14818262.868488999</c:v>
                </c:pt>
                <c:pt idx="3">
                  <c:v>14088079.797666</c:v>
                </c:pt>
                <c:pt idx="4">
                  <c:v>13373052.170359001</c:v>
                </c:pt>
                <c:pt idx="5">
                  <c:v>12528839.470874</c:v>
                </c:pt>
                <c:pt idx="6">
                  <c:v>11750046.127835</c:v>
                </c:pt>
                <c:pt idx="7">
                  <c:v>10923793.472943</c:v>
                </c:pt>
                <c:pt idx="8">
                  <c:v>10137826.048010999</c:v>
                </c:pt>
                <c:pt idx="9">
                  <c:v>9372473.1312189996</c:v>
                </c:pt>
                <c:pt idx="10">
                  <c:v>8628279.5278999992</c:v>
                </c:pt>
                <c:pt idx="11">
                  <c:v>7917861.3619139995</c:v>
                </c:pt>
                <c:pt idx="12">
                  <c:v>7235564.9679199997</c:v>
                </c:pt>
                <c:pt idx="13">
                  <c:v>6584523.6254169997</c:v>
                </c:pt>
                <c:pt idx="14">
                  <c:v>5951586.3310099998</c:v>
                </c:pt>
                <c:pt idx="15">
                  <c:v>5324068.8109499998</c:v>
                </c:pt>
                <c:pt idx="16">
                  <c:v>4732364.2953940006</c:v>
                </c:pt>
                <c:pt idx="17">
                  <c:v>4407525.6759230001</c:v>
                </c:pt>
                <c:pt idx="18">
                  <c:v>4088348.9270120002</c:v>
                </c:pt>
                <c:pt idx="19">
                  <c:v>3778516.763572</c:v>
                </c:pt>
                <c:pt idx="20">
                  <c:v>3529888.5391799998</c:v>
                </c:pt>
                <c:pt idx="21">
                  <c:v>3287976.015588</c:v>
                </c:pt>
                <c:pt idx="22">
                  <c:v>3185261.4769580001</c:v>
                </c:pt>
                <c:pt idx="23">
                  <c:v>3087191.413780001</c:v>
                </c:pt>
                <c:pt idx="24">
                  <c:v>2994912.8888920001</c:v>
                </c:pt>
                <c:pt idx="25">
                  <c:v>2908653.57063</c:v>
                </c:pt>
                <c:pt idx="26">
                  <c:v>2827993.6287750001</c:v>
                </c:pt>
                <c:pt idx="27">
                  <c:v>2752520.5133659998</c:v>
                </c:pt>
                <c:pt idx="28">
                  <c:v>2681628.98728</c:v>
                </c:pt>
                <c:pt idx="29">
                  <c:v>2614682.5263060001</c:v>
                </c:pt>
                <c:pt idx="30">
                  <c:v>2550913.961995</c:v>
                </c:pt>
                <c:pt idx="31">
                  <c:v>2489451.1468270002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2-4F5B-9340-EA5C8E26397B}"/>
            </c:ext>
          </c:extLst>
        </c:ser>
        <c:ser>
          <c:idx val="2"/>
          <c:order val="2"/>
          <c:tx>
            <c:strRef>
              <c:f>'Transportation Emissions'!$B$21</c:f>
              <c:strCache>
                <c:ptCount val="1"/>
                <c:pt idx="0">
                  <c:v>Jet Fuel</c:v>
                </c:pt>
              </c:strCache>
            </c:strRef>
          </c:tx>
          <c:spPr>
            <a:solidFill>
              <a:srgbClr val="472F92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Emissions'!$C$21:$AH$21</c:f>
              <c:numCache>
                <c:formatCode>General</c:formatCode>
                <c:ptCount val="32"/>
                <c:pt idx="0">
                  <c:v>7872484.352</c:v>
                </c:pt>
                <c:pt idx="1">
                  <c:v>7872484.352</c:v>
                </c:pt>
                <c:pt idx="2">
                  <c:v>7785012.07424</c:v>
                </c:pt>
                <c:pt idx="3">
                  <c:v>7697540.2657160005</c:v>
                </c:pt>
                <c:pt idx="4">
                  <c:v>7610068.4571930002</c:v>
                </c:pt>
                <c:pt idx="5">
                  <c:v>7522596.1794330003</c:v>
                </c:pt>
                <c:pt idx="6">
                  <c:v>7435123.9016730003</c:v>
                </c:pt>
                <c:pt idx="7">
                  <c:v>7347652.0931489998</c:v>
                </c:pt>
                <c:pt idx="8">
                  <c:v>7260180.2846259996</c:v>
                </c:pt>
                <c:pt idx="9">
                  <c:v>7172708.0068650004</c:v>
                </c:pt>
                <c:pt idx="10">
                  <c:v>7085235.7291050004</c:v>
                </c:pt>
                <c:pt idx="11">
                  <c:v>6997763.9205820002</c:v>
                </c:pt>
                <c:pt idx="12">
                  <c:v>6910292.1120579997</c:v>
                </c:pt>
                <c:pt idx="13">
                  <c:v>6822819.8342979997</c:v>
                </c:pt>
                <c:pt idx="14">
                  <c:v>6735347.5565379998</c:v>
                </c:pt>
                <c:pt idx="15">
                  <c:v>6647875.7480149996</c:v>
                </c:pt>
                <c:pt idx="16">
                  <c:v>6560403.939491</c:v>
                </c:pt>
                <c:pt idx="17">
                  <c:v>6472931.6617310001</c:v>
                </c:pt>
                <c:pt idx="18">
                  <c:v>6385459.3839710001</c:v>
                </c:pt>
                <c:pt idx="19">
                  <c:v>6297987.5754469996</c:v>
                </c:pt>
                <c:pt idx="20">
                  <c:v>6297987.5754469996</c:v>
                </c:pt>
                <c:pt idx="21">
                  <c:v>6297987.5754469996</c:v>
                </c:pt>
                <c:pt idx="22">
                  <c:v>6297987.5754469996</c:v>
                </c:pt>
                <c:pt idx="23">
                  <c:v>6297987.5754469996</c:v>
                </c:pt>
                <c:pt idx="24">
                  <c:v>6297987.5754469996</c:v>
                </c:pt>
                <c:pt idx="25">
                  <c:v>6297987.5754469996</c:v>
                </c:pt>
                <c:pt idx="26">
                  <c:v>6297987.5754469996</c:v>
                </c:pt>
                <c:pt idx="27">
                  <c:v>6297987.5754469996</c:v>
                </c:pt>
                <c:pt idx="28">
                  <c:v>6297987.5754469996</c:v>
                </c:pt>
                <c:pt idx="29">
                  <c:v>6297987.5754469996</c:v>
                </c:pt>
                <c:pt idx="30">
                  <c:v>6297987.5754469996</c:v>
                </c:pt>
                <c:pt idx="31">
                  <c:v>6297987.5754469996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D2-4F5B-9340-EA5C8E26397B}"/>
            </c:ext>
          </c:extLst>
        </c:ser>
        <c:ser>
          <c:idx val="3"/>
          <c:order val="3"/>
          <c:tx>
            <c:strRef>
              <c:f>'Transportation Emissions'!$B$20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BE736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Emissions'!$C$20:$AH$20</c:f>
              <c:numCache>
                <c:formatCode>General</c:formatCode>
                <c:ptCount val="32"/>
                <c:pt idx="0">
                  <c:v>19106.891037000001</c:v>
                </c:pt>
                <c:pt idx="1">
                  <c:v>31653.626755000001</c:v>
                </c:pt>
                <c:pt idx="2">
                  <c:v>63456.509956000002</c:v>
                </c:pt>
                <c:pt idx="3">
                  <c:v>95989.168741999994</c:v>
                </c:pt>
                <c:pt idx="4">
                  <c:v>136392.554133</c:v>
                </c:pt>
                <c:pt idx="5">
                  <c:v>202743.160814</c:v>
                </c:pt>
                <c:pt idx="6">
                  <c:v>89097.788614999998</c:v>
                </c:pt>
                <c:pt idx="7">
                  <c:v>106803.547154</c:v>
                </c:pt>
                <c:pt idx="8">
                  <c:v>125002.44918</c:v>
                </c:pt>
                <c:pt idx="9">
                  <c:v>140587.122474</c:v>
                </c:pt>
                <c:pt idx="10">
                  <c:v>148614.61950900001</c:v>
                </c:pt>
                <c:pt idx="11">
                  <c:v>150856.15283599999</c:v>
                </c:pt>
                <c:pt idx="12">
                  <c:v>168946.96509300001</c:v>
                </c:pt>
                <c:pt idx="13">
                  <c:v>183624.26229099999</c:v>
                </c:pt>
                <c:pt idx="14">
                  <c:v>195501.1422</c:v>
                </c:pt>
                <c:pt idx="15">
                  <c:v>206539.634208</c:v>
                </c:pt>
                <c:pt idx="16">
                  <c:v>214031.50262300001</c:v>
                </c:pt>
                <c:pt idx="17">
                  <c:v>215081.578198</c:v>
                </c:pt>
                <c:pt idx="18">
                  <c:v>214938.91202700001</c:v>
                </c:pt>
                <c:pt idx="19">
                  <c:v>212997.08767400001</c:v>
                </c:pt>
                <c:pt idx="20">
                  <c:v>209175.67218299999</c:v>
                </c:pt>
                <c:pt idx="21">
                  <c:v>203745.782477</c:v>
                </c:pt>
                <c:pt idx="22">
                  <c:v>196704.83557699999</c:v>
                </c:pt>
                <c:pt idx="23">
                  <c:v>187392.085693</c:v>
                </c:pt>
                <c:pt idx="24">
                  <c:v>175792.06023100001</c:v>
                </c:pt>
                <c:pt idx="25">
                  <c:v>162223.61004900001</c:v>
                </c:pt>
                <c:pt idx="26">
                  <c:v>146576.87427</c:v>
                </c:pt>
                <c:pt idx="27">
                  <c:v>147512.42588600001</c:v>
                </c:pt>
                <c:pt idx="28">
                  <c:v>148128.520716</c:v>
                </c:pt>
                <c:pt idx="29">
                  <c:v>148499.65679199999</c:v>
                </c:pt>
                <c:pt idx="30">
                  <c:v>148772.16891899999</c:v>
                </c:pt>
                <c:pt idx="31">
                  <c:v>148695.935635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D2-4F5B-9340-EA5C8E26397B}"/>
            </c:ext>
          </c:extLst>
        </c:ser>
        <c:ser>
          <c:idx val="4"/>
          <c:order val="4"/>
          <c:tx>
            <c:strRef>
              <c:f>'Transportation Emissions'!$B$22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17B1DC">
                <a:alpha val="75000"/>
              </a:srgbClr>
            </a:solidFill>
            <a:ln>
              <a:noFill/>
            </a:ln>
          </c:spPr>
          <c:cat>
            <c:numRef>
              <c:f>'Transportation Emissions'!$C$11:$AH$11</c:f>
              <c:numCache>
                <c:formatCode>General</c:formatCode>
                <c:ptCount val="3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</c:numCache>
            </c:numRef>
          </c:cat>
          <c:val>
            <c:numRef>
              <c:f>'Transportation Emissions'!$C$22:$AH$22</c:f>
              <c:numCache>
                <c:formatCode>General</c:formatCode>
                <c:ptCount val="32"/>
                <c:pt idx="0">
                  <c:v>10900.915784000001</c:v>
                </c:pt>
                <c:pt idx="1">
                  <c:v>31307.661317999999</c:v>
                </c:pt>
                <c:pt idx="2">
                  <c:v>139322.18994099999</c:v>
                </c:pt>
                <c:pt idx="3">
                  <c:v>237640.44772600001</c:v>
                </c:pt>
                <c:pt idx="4">
                  <c:v>326565.80865199998</c:v>
                </c:pt>
                <c:pt idx="5">
                  <c:v>406421.953729</c:v>
                </c:pt>
                <c:pt idx="6">
                  <c:v>477948.80478599999</c:v>
                </c:pt>
                <c:pt idx="7">
                  <c:v>539102.99585900002</c:v>
                </c:pt>
                <c:pt idx="8">
                  <c:v>592014.75495900004</c:v>
                </c:pt>
                <c:pt idx="9">
                  <c:v>638201.36627300002</c:v>
                </c:pt>
                <c:pt idx="10">
                  <c:v>678298.70392800006</c:v>
                </c:pt>
                <c:pt idx="11">
                  <c:v>712964.062836</c:v>
                </c:pt>
                <c:pt idx="12">
                  <c:v>741997.58019500005</c:v>
                </c:pt>
                <c:pt idx="13">
                  <c:v>766196.49908899993</c:v>
                </c:pt>
                <c:pt idx="14">
                  <c:v>785637.77331199998</c:v>
                </c:pt>
                <c:pt idx="15">
                  <c:v>800332.65006100002</c:v>
                </c:pt>
                <c:pt idx="16">
                  <c:v>810285.42703300004</c:v>
                </c:pt>
                <c:pt idx="17">
                  <c:v>774593.13500599994</c:v>
                </c:pt>
                <c:pt idx="18">
                  <c:v>738904.10432099993</c:v>
                </c:pt>
                <c:pt idx="19">
                  <c:v>703089.04174799996</c:v>
                </c:pt>
                <c:pt idx="20">
                  <c:v>667132.61156800005</c:v>
                </c:pt>
                <c:pt idx="21">
                  <c:v>630829.05881299998</c:v>
                </c:pt>
                <c:pt idx="22">
                  <c:v>593773.59024300007</c:v>
                </c:pt>
                <c:pt idx="23">
                  <c:v>556241.78553300002</c:v>
                </c:pt>
                <c:pt idx="24">
                  <c:v>518179.67713600001</c:v>
                </c:pt>
                <c:pt idx="25">
                  <c:v>479541.70474100002</c:v>
                </c:pt>
                <c:pt idx="26">
                  <c:v>440296.50350599998</c:v>
                </c:pt>
                <c:pt idx="27">
                  <c:v>400570.39067599998</c:v>
                </c:pt>
                <c:pt idx="28">
                  <c:v>360186.33691299998</c:v>
                </c:pt>
                <c:pt idx="29">
                  <c:v>319148.15315600001</c:v>
                </c:pt>
                <c:pt idx="30">
                  <c:v>277464.607174</c:v>
                </c:pt>
                <c:pt idx="31">
                  <c:v>235146.89663500001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D2-4F5B-9340-EA5C8E263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90001"/>
        <c:axId val="50990002"/>
      </c:areaChart>
      <c:catAx>
        <c:axId val="509900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</a:ln>
        </c:spPr>
        <c:txPr>
          <a:bodyPr rot="-5400000" vert="horz"/>
          <a:lstStyle/>
          <a:p>
            <a:pPr>
              <a:defRPr sz="800" b="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90002"/>
        <c:crosses val="autoZero"/>
        <c:auto val="1"/>
        <c:lblAlgn val="ctr"/>
        <c:lblOffset val="100"/>
        <c:tickLblSkip val="2"/>
        <c:noMultiLvlLbl val="0"/>
      </c:catAx>
      <c:valAx>
        <c:axId val="50990002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D9D9D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 baseline="0">
                    <a:solidFill>
                      <a:srgbClr val="000000"/>
                    </a:solidFill>
                    <a:latin typeface="Open Sans"/>
                  </a:defRPr>
                </a:pPr>
                <a:r>
                  <a:rPr lang="en-US" sz="800" b="0" baseline="0">
                    <a:solidFill>
                      <a:srgbClr val="000000"/>
                    </a:solidFill>
                    <a:latin typeface="Open Sans"/>
                  </a:rPr>
                  <a:t>MTonCO2e (millions)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solidFill>
                  <a:srgbClr val="000000"/>
                </a:solidFill>
                <a:latin typeface="Open Sans"/>
              </a:defRPr>
            </a:pPr>
            <a:endParaRPr lang="en-US"/>
          </a:p>
        </c:txPr>
        <c:crossAx val="50990001"/>
        <c:crosses val="autoZero"/>
        <c:crossBetween val="midCat"/>
        <c:dispUnits>
          <c:builtInUnit val="millions"/>
        </c:dispUnits>
      </c:valAx>
    </c:plotArea>
    <c:legend>
      <c:legendPos val="r"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40.xml"/><Relationship Id="rId18" Type="http://schemas.openxmlformats.org/officeDocument/2006/relationships/chart" Target="../charts/chart45.xml"/><Relationship Id="rId26" Type="http://schemas.openxmlformats.org/officeDocument/2006/relationships/chart" Target="../charts/chart53.xml"/><Relationship Id="rId3" Type="http://schemas.openxmlformats.org/officeDocument/2006/relationships/chart" Target="../charts/chart30.xml"/><Relationship Id="rId21" Type="http://schemas.openxmlformats.org/officeDocument/2006/relationships/chart" Target="../charts/chart48.xml"/><Relationship Id="rId34" Type="http://schemas.openxmlformats.org/officeDocument/2006/relationships/chart" Target="../charts/chart61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17" Type="http://schemas.openxmlformats.org/officeDocument/2006/relationships/chart" Target="../charts/chart44.xml"/><Relationship Id="rId25" Type="http://schemas.openxmlformats.org/officeDocument/2006/relationships/chart" Target="../charts/chart52.xml"/><Relationship Id="rId33" Type="http://schemas.openxmlformats.org/officeDocument/2006/relationships/chart" Target="../charts/chart60.xml"/><Relationship Id="rId2" Type="http://schemas.openxmlformats.org/officeDocument/2006/relationships/chart" Target="../charts/chart29.xml"/><Relationship Id="rId16" Type="http://schemas.openxmlformats.org/officeDocument/2006/relationships/chart" Target="../charts/chart43.xml"/><Relationship Id="rId20" Type="http://schemas.openxmlformats.org/officeDocument/2006/relationships/chart" Target="../charts/chart47.xml"/><Relationship Id="rId29" Type="http://schemas.openxmlformats.org/officeDocument/2006/relationships/chart" Target="../charts/chart56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24" Type="http://schemas.openxmlformats.org/officeDocument/2006/relationships/chart" Target="../charts/chart51.xml"/><Relationship Id="rId32" Type="http://schemas.openxmlformats.org/officeDocument/2006/relationships/chart" Target="../charts/chart59.xml"/><Relationship Id="rId5" Type="http://schemas.openxmlformats.org/officeDocument/2006/relationships/chart" Target="../charts/chart32.xml"/><Relationship Id="rId15" Type="http://schemas.openxmlformats.org/officeDocument/2006/relationships/chart" Target="../charts/chart42.xml"/><Relationship Id="rId23" Type="http://schemas.openxmlformats.org/officeDocument/2006/relationships/chart" Target="../charts/chart50.xml"/><Relationship Id="rId28" Type="http://schemas.openxmlformats.org/officeDocument/2006/relationships/chart" Target="../charts/chart55.xml"/><Relationship Id="rId36" Type="http://schemas.openxmlformats.org/officeDocument/2006/relationships/chart" Target="../charts/chart63.xml"/><Relationship Id="rId10" Type="http://schemas.openxmlformats.org/officeDocument/2006/relationships/chart" Target="../charts/chart37.xml"/><Relationship Id="rId19" Type="http://schemas.openxmlformats.org/officeDocument/2006/relationships/chart" Target="../charts/chart46.xml"/><Relationship Id="rId31" Type="http://schemas.openxmlformats.org/officeDocument/2006/relationships/chart" Target="../charts/chart58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chart" Target="../charts/chart41.xml"/><Relationship Id="rId22" Type="http://schemas.openxmlformats.org/officeDocument/2006/relationships/chart" Target="../charts/chart49.xml"/><Relationship Id="rId27" Type="http://schemas.openxmlformats.org/officeDocument/2006/relationships/chart" Target="../charts/chart54.xml"/><Relationship Id="rId30" Type="http://schemas.openxmlformats.org/officeDocument/2006/relationships/chart" Target="../charts/chart57.xml"/><Relationship Id="rId35" Type="http://schemas.openxmlformats.org/officeDocument/2006/relationships/chart" Target="../charts/chart62.xml"/><Relationship Id="rId8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13" Type="http://schemas.openxmlformats.org/officeDocument/2006/relationships/chart" Target="../charts/chart82.xml"/><Relationship Id="rId18" Type="http://schemas.openxmlformats.org/officeDocument/2006/relationships/chart" Target="../charts/chart87.xml"/><Relationship Id="rId26" Type="http://schemas.openxmlformats.org/officeDocument/2006/relationships/chart" Target="../charts/chart95.xml"/><Relationship Id="rId3" Type="http://schemas.openxmlformats.org/officeDocument/2006/relationships/chart" Target="../charts/chart72.xml"/><Relationship Id="rId21" Type="http://schemas.openxmlformats.org/officeDocument/2006/relationships/chart" Target="../charts/chart90.xml"/><Relationship Id="rId7" Type="http://schemas.openxmlformats.org/officeDocument/2006/relationships/chart" Target="../charts/chart76.xml"/><Relationship Id="rId12" Type="http://schemas.openxmlformats.org/officeDocument/2006/relationships/chart" Target="../charts/chart81.xml"/><Relationship Id="rId17" Type="http://schemas.openxmlformats.org/officeDocument/2006/relationships/chart" Target="../charts/chart86.xml"/><Relationship Id="rId25" Type="http://schemas.openxmlformats.org/officeDocument/2006/relationships/chart" Target="../charts/chart94.xml"/><Relationship Id="rId2" Type="http://schemas.openxmlformats.org/officeDocument/2006/relationships/chart" Target="../charts/chart71.xml"/><Relationship Id="rId16" Type="http://schemas.openxmlformats.org/officeDocument/2006/relationships/chart" Target="../charts/chart85.xml"/><Relationship Id="rId20" Type="http://schemas.openxmlformats.org/officeDocument/2006/relationships/chart" Target="../charts/chart89.xml"/><Relationship Id="rId1" Type="http://schemas.openxmlformats.org/officeDocument/2006/relationships/chart" Target="../charts/chart70.xml"/><Relationship Id="rId6" Type="http://schemas.openxmlformats.org/officeDocument/2006/relationships/chart" Target="../charts/chart75.xml"/><Relationship Id="rId11" Type="http://schemas.openxmlformats.org/officeDocument/2006/relationships/chart" Target="../charts/chart80.xml"/><Relationship Id="rId24" Type="http://schemas.openxmlformats.org/officeDocument/2006/relationships/chart" Target="../charts/chart93.xml"/><Relationship Id="rId5" Type="http://schemas.openxmlformats.org/officeDocument/2006/relationships/chart" Target="../charts/chart74.xml"/><Relationship Id="rId15" Type="http://schemas.openxmlformats.org/officeDocument/2006/relationships/chart" Target="../charts/chart84.xml"/><Relationship Id="rId23" Type="http://schemas.openxmlformats.org/officeDocument/2006/relationships/chart" Target="../charts/chart92.xml"/><Relationship Id="rId10" Type="http://schemas.openxmlformats.org/officeDocument/2006/relationships/chart" Target="../charts/chart79.xml"/><Relationship Id="rId19" Type="http://schemas.openxmlformats.org/officeDocument/2006/relationships/chart" Target="../charts/chart88.xml"/><Relationship Id="rId4" Type="http://schemas.openxmlformats.org/officeDocument/2006/relationships/chart" Target="../charts/chart73.xml"/><Relationship Id="rId9" Type="http://schemas.openxmlformats.org/officeDocument/2006/relationships/chart" Target="../charts/chart78.xml"/><Relationship Id="rId14" Type="http://schemas.openxmlformats.org/officeDocument/2006/relationships/chart" Target="../charts/chart83.xml"/><Relationship Id="rId22" Type="http://schemas.openxmlformats.org/officeDocument/2006/relationships/chart" Target="../charts/chart9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13" Type="http://schemas.openxmlformats.org/officeDocument/2006/relationships/chart" Target="../charts/chart108.xml"/><Relationship Id="rId18" Type="http://schemas.openxmlformats.org/officeDocument/2006/relationships/chart" Target="../charts/chart113.xml"/><Relationship Id="rId26" Type="http://schemas.openxmlformats.org/officeDocument/2006/relationships/chart" Target="../charts/chart121.xml"/><Relationship Id="rId3" Type="http://schemas.openxmlformats.org/officeDocument/2006/relationships/chart" Target="../charts/chart98.xml"/><Relationship Id="rId21" Type="http://schemas.openxmlformats.org/officeDocument/2006/relationships/chart" Target="../charts/chart116.xml"/><Relationship Id="rId7" Type="http://schemas.openxmlformats.org/officeDocument/2006/relationships/chart" Target="../charts/chart102.xml"/><Relationship Id="rId12" Type="http://schemas.openxmlformats.org/officeDocument/2006/relationships/chart" Target="../charts/chart107.xml"/><Relationship Id="rId17" Type="http://schemas.openxmlformats.org/officeDocument/2006/relationships/chart" Target="../charts/chart112.xml"/><Relationship Id="rId25" Type="http://schemas.openxmlformats.org/officeDocument/2006/relationships/chart" Target="../charts/chart120.xml"/><Relationship Id="rId2" Type="http://schemas.openxmlformats.org/officeDocument/2006/relationships/chart" Target="../charts/chart97.xml"/><Relationship Id="rId16" Type="http://schemas.openxmlformats.org/officeDocument/2006/relationships/chart" Target="../charts/chart111.xml"/><Relationship Id="rId20" Type="http://schemas.openxmlformats.org/officeDocument/2006/relationships/chart" Target="../charts/chart115.xml"/><Relationship Id="rId1" Type="http://schemas.openxmlformats.org/officeDocument/2006/relationships/chart" Target="../charts/chart96.xml"/><Relationship Id="rId6" Type="http://schemas.openxmlformats.org/officeDocument/2006/relationships/chart" Target="../charts/chart101.xml"/><Relationship Id="rId11" Type="http://schemas.openxmlformats.org/officeDocument/2006/relationships/chart" Target="../charts/chart106.xml"/><Relationship Id="rId24" Type="http://schemas.openxmlformats.org/officeDocument/2006/relationships/chart" Target="../charts/chart119.xml"/><Relationship Id="rId5" Type="http://schemas.openxmlformats.org/officeDocument/2006/relationships/chart" Target="../charts/chart100.xml"/><Relationship Id="rId15" Type="http://schemas.openxmlformats.org/officeDocument/2006/relationships/chart" Target="../charts/chart110.xml"/><Relationship Id="rId23" Type="http://schemas.openxmlformats.org/officeDocument/2006/relationships/chart" Target="../charts/chart118.xml"/><Relationship Id="rId10" Type="http://schemas.openxmlformats.org/officeDocument/2006/relationships/chart" Target="../charts/chart105.xml"/><Relationship Id="rId19" Type="http://schemas.openxmlformats.org/officeDocument/2006/relationships/chart" Target="../charts/chart114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Relationship Id="rId14" Type="http://schemas.openxmlformats.org/officeDocument/2006/relationships/chart" Target="../charts/chart109.xml"/><Relationship Id="rId22" Type="http://schemas.openxmlformats.org/officeDocument/2006/relationships/chart" Target="../charts/chart1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4.xml"/><Relationship Id="rId2" Type="http://schemas.openxmlformats.org/officeDocument/2006/relationships/chart" Target="../charts/chart123.xml"/><Relationship Id="rId1" Type="http://schemas.openxmlformats.org/officeDocument/2006/relationships/chart" Target="../charts/chart1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228600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16</xdr:col>
      <xdr:colOff>228600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228600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3</xdr:row>
      <xdr:rowOff>0</xdr:rowOff>
    </xdr:from>
    <xdr:to>
      <xdr:col>27</xdr:col>
      <xdr:colOff>228600</xdr:colOff>
      <xdr:row>18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21</xdr:row>
      <xdr:rowOff>0</xdr:rowOff>
    </xdr:from>
    <xdr:to>
      <xdr:col>27</xdr:col>
      <xdr:colOff>228600</xdr:colOff>
      <xdr:row>36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3</xdr:row>
      <xdr:rowOff>0</xdr:rowOff>
    </xdr:from>
    <xdr:to>
      <xdr:col>38</xdr:col>
      <xdr:colOff>228600</xdr:colOff>
      <xdr:row>18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0</xdr:colOff>
      <xdr:row>21</xdr:row>
      <xdr:rowOff>0</xdr:rowOff>
    </xdr:from>
    <xdr:to>
      <xdr:col>38</xdr:col>
      <xdr:colOff>228600</xdr:colOff>
      <xdr:row>36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43</xdr:col>
      <xdr:colOff>0</xdr:colOff>
      <xdr:row>3</xdr:row>
      <xdr:rowOff>0</xdr:rowOff>
    </xdr:from>
    <xdr:to>
      <xdr:col>50</xdr:col>
      <xdr:colOff>228600</xdr:colOff>
      <xdr:row>18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43</xdr:col>
      <xdr:colOff>0</xdr:colOff>
      <xdr:row>21</xdr:row>
      <xdr:rowOff>0</xdr:rowOff>
    </xdr:from>
    <xdr:to>
      <xdr:col>50</xdr:col>
      <xdr:colOff>228600</xdr:colOff>
      <xdr:row>36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53</xdr:col>
      <xdr:colOff>0</xdr:colOff>
      <xdr:row>3</xdr:row>
      <xdr:rowOff>0</xdr:rowOff>
    </xdr:from>
    <xdr:to>
      <xdr:col>60</xdr:col>
      <xdr:colOff>228600</xdr:colOff>
      <xdr:row>18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53</xdr:col>
      <xdr:colOff>0</xdr:colOff>
      <xdr:row>21</xdr:row>
      <xdr:rowOff>0</xdr:rowOff>
    </xdr:from>
    <xdr:to>
      <xdr:col>60</xdr:col>
      <xdr:colOff>228600</xdr:colOff>
      <xdr:row>36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40</xdr:row>
      <xdr:rowOff>0</xdr:rowOff>
    </xdr:from>
    <xdr:to>
      <xdr:col>16</xdr:col>
      <xdr:colOff>228600</xdr:colOff>
      <xdr:row>55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59</xdr:row>
      <xdr:rowOff>0</xdr:rowOff>
    </xdr:from>
    <xdr:to>
      <xdr:col>16</xdr:col>
      <xdr:colOff>228600</xdr:colOff>
      <xdr:row>74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27</xdr:col>
      <xdr:colOff>228600</xdr:colOff>
      <xdr:row>55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0</xdr:colOff>
      <xdr:row>59</xdr:row>
      <xdr:rowOff>0</xdr:rowOff>
    </xdr:from>
    <xdr:to>
      <xdr:col>27</xdr:col>
      <xdr:colOff>228600</xdr:colOff>
      <xdr:row>74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31</xdr:col>
      <xdr:colOff>0</xdr:colOff>
      <xdr:row>40</xdr:row>
      <xdr:rowOff>0</xdr:rowOff>
    </xdr:from>
    <xdr:to>
      <xdr:col>38</xdr:col>
      <xdr:colOff>228600</xdr:colOff>
      <xdr:row>55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59</xdr:row>
      <xdr:rowOff>0</xdr:rowOff>
    </xdr:from>
    <xdr:to>
      <xdr:col>38</xdr:col>
      <xdr:colOff>228600</xdr:colOff>
      <xdr:row>74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43</xdr:col>
      <xdr:colOff>0</xdr:colOff>
      <xdr:row>40</xdr:row>
      <xdr:rowOff>0</xdr:rowOff>
    </xdr:from>
    <xdr:to>
      <xdr:col>50</xdr:col>
      <xdr:colOff>228600</xdr:colOff>
      <xdr:row>55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43</xdr:col>
      <xdr:colOff>0</xdr:colOff>
      <xdr:row>59</xdr:row>
      <xdr:rowOff>0</xdr:rowOff>
    </xdr:from>
    <xdr:to>
      <xdr:col>50</xdr:col>
      <xdr:colOff>228600</xdr:colOff>
      <xdr:row>74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53</xdr:col>
      <xdr:colOff>0</xdr:colOff>
      <xdr:row>40</xdr:row>
      <xdr:rowOff>0</xdr:rowOff>
    </xdr:from>
    <xdr:to>
      <xdr:col>60</xdr:col>
      <xdr:colOff>228600</xdr:colOff>
      <xdr:row>55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53</xdr:col>
      <xdr:colOff>0</xdr:colOff>
      <xdr:row>59</xdr:row>
      <xdr:rowOff>0</xdr:rowOff>
    </xdr:from>
    <xdr:to>
      <xdr:col>60</xdr:col>
      <xdr:colOff>228600</xdr:colOff>
      <xdr:row>74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78</xdr:row>
      <xdr:rowOff>0</xdr:rowOff>
    </xdr:from>
    <xdr:to>
      <xdr:col>18</xdr:col>
      <xdr:colOff>466725</xdr:colOff>
      <xdr:row>93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20</xdr:col>
      <xdr:colOff>0</xdr:colOff>
      <xdr:row>78</xdr:row>
      <xdr:rowOff>0</xdr:rowOff>
    </xdr:from>
    <xdr:to>
      <xdr:col>29</xdr:col>
      <xdr:colOff>466725</xdr:colOff>
      <xdr:row>93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31</xdr:col>
      <xdr:colOff>0</xdr:colOff>
      <xdr:row>78</xdr:row>
      <xdr:rowOff>0</xdr:rowOff>
    </xdr:from>
    <xdr:to>
      <xdr:col>40</xdr:col>
      <xdr:colOff>466725</xdr:colOff>
      <xdr:row>93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43</xdr:col>
      <xdr:colOff>0</xdr:colOff>
      <xdr:row>78</xdr:row>
      <xdr:rowOff>0</xdr:rowOff>
    </xdr:from>
    <xdr:to>
      <xdr:col>52</xdr:col>
      <xdr:colOff>466725</xdr:colOff>
      <xdr:row>93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53</xdr:col>
      <xdr:colOff>0</xdr:colOff>
      <xdr:row>78</xdr:row>
      <xdr:rowOff>0</xdr:rowOff>
    </xdr:from>
    <xdr:to>
      <xdr:col>62</xdr:col>
      <xdr:colOff>466725</xdr:colOff>
      <xdr:row>93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228600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228600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16</xdr:col>
      <xdr:colOff>228600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228600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3</xdr:row>
      <xdr:rowOff>0</xdr:rowOff>
    </xdr:from>
    <xdr:to>
      <xdr:col>27</xdr:col>
      <xdr:colOff>228600</xdr:colOff>
      <xdr:row>18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21</xdr:row>
      <xdr:rowOff>0</xdr:rowOff>
    </xdr:from>
    <xdr:to>
      <xdr:col>27</xdr:col>
      <xdr:colOff>228600</xdr:colOff>
      <xdr:row>36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3</xdr:row>
      <xdr:rowOff>0</xdr:rowOff>
    </xdr:from>
    <xdr:to>
      <xdr:col>38</xdr:col>
      <xdr:colOff>228600</xdr:colOff>
      <xdr:row>18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0</xdr:colOff>
      <xdr:row>21</xdr:row>
      <xdr:rowOff>0</xdr:rowOff>
    </xdr:from>
    <xdr:to>
      <xdr:col>38</xdr:col>
      <xdr:colOff>228600</xdr:colOff>
      <xdr:row>36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43</xdr:col>
      <xdr:colOff>0</xdr:colOff>
      <xdr:row>3</xdr:row>
      <xdr:rowOff>0</xdr:rowOff>
    </xdr:from>
    <xdr:to>
      <xdr:col>50</xdr:col>
      <xdr:colOff>228600</xdr:colOff>
      <xdr:row>18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43</xdr:col>
      <xdr:colOff>0</xdr:colOff>
      <xdr:row>21</xdr:row>
      <xdr:rowOff>0</xdr:rowOff>
    </xdr:from>
    <xdr:to>
      <xdr:col>50</xdr:col>
      <xdr:colOff>228600</xdr:colOff>
      <xdr:row>36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53</xdr:col>
      <xdr:colOff>0</xdr:colOff>
      <xdr:row>3</xdr:row>
      <xdr:rowOff>0</xdr:rowOff>
    </xdr:from>
    <xdr:to>
      <xdr:col>60</xdr:col>
      <xdr:colOff>228600</xdr:colOff>
      <xdr:row>18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53</xdr:col>
      <xdr:colOff>0</xdr:colOff>
      <xdr:row>21</xdr:row>
      <xdr:rowOff>0</xdr:rowOff>
    </xdr:from>
    <xdr:to>
      <xdr:col>60</xdr:col>
      <xdr:colOff>228600</xdr:colOff>
      <xdr:row>36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40</xdr:row>
      <xdr:rowOff>0</xdr:rowOff>
    </xdr:from>
    <xdr:to>
      <xdr:col>16</xdr:col>
      <xdr:colOff>228600</xdr:colOff>
      <xdr:row>55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59</xdr:row>
      <xdr:rowOff>0</xdr:rowOff>
    </xdr:from>
    <xdr:to>
      <xdr:col>16</xdr:col>
      <xdr:colOff>228600</xdr:colOff>
      <xdr:row>74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27</xdr:col>
      <xdr:colOff>228600</xdr:colOff>
      <xdr:row>55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0</xdr:colOff>
      <xdr:row>59</xdr:row>
      <xdr:rowOff>0</xdr:rowOff>
    </xdr:from>
    <xdr:to>
      <xdr:col>27</xdr:col>
      <xdr:colOff>228600</xdr:colOff>
      <xdr:row>74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31</xdr:col>
      <xdr:colOff>0</xdr:colOff>
      <xdr:row>40</xdr:row>
      <xdr:rowOff>0</xdr:rowOff>
    </xdr:from>
    <xdr:to>
      <xdr:col>38</xdr:col>
      <xdr:colOff>228600</xdr:colOff>
      <xdr:row>55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59</xdr:row>
      <xdr:rowOff>0</xdr:rowOff>
    </xdr:from>
    <xdr:to>
      <xdr:col>38</xdr:col>
      <xdr:colOff>228600</xdr:colOff>
      <xdr:row>74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43</xdr:col>
      <xdr:colOff>0</xdr:colOff>
      <xdr:row>40</xdr:row>
      <xdr:rowOff>0</xdr:rowOff>
    </xdr:from>
    <xdr:to>
      <xdr:col>50</xdr:col>
      <xdr:colOff>228600</xdr:colOff>
      <xdr:row>55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43</xdr:col>
      <xdr:colOff>0</xdr:colOff>
      <xdr:row>59</xdr:row>
      <xdr:rowOff>0</xdr:rowOff>
    </xdr:from>
    <xdr:to>
      <xdr:col>50</xdr:col>
      <xdr:colOff>228600</xdr:colOff>
      <xdr:row>74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53</xdr:col>
      <xdr:colOff>0</xdr:colOff>
      <xdr:row>40</xdr:row>
      <xdr:rowOff>0</xdr:rowOff>
    </xdr:from>
    <xdr:to>
      <xdr:col>60</xdr:col>
      <xdr:colOff>228600</xdr:colOff>
      <xdr:row>55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53</xdr:col>
      <xdr:colOff>0</xdr:colOff>
      <xdr:row>59</xdr:row>
      <xdr:rowOff>0</xdr:rowOff>
    </xdr:from>
    <xdr:to>
      <xdr:col>60</xdr:col>
      <xdr:colOff>228600</xdr:colOff>
      <xdr:row>74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78</xdr:row>
      <xdr:rowOff>0</xdr:rowOff>
    </xdr:from>
    <xdr:to>
      <xdr:col>16</xdr:col>
      <xdr:colOff>228600</xdr:colOff>
      <xdr:row>93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0</xdr:colOff>
      <xdr:row>97</xdr:row>
      <xdr:rowOff>0</xdr:rowOff>
    </xdr:from>
    <xdr:to>
      <xdr:col>16</xdr:col>
      <xdr:colOff>228600</xdr:colOff>
      <xdr:row>112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20</xdr:col>
      <xdr:colOff>0</xdr:colOff>
      <xdr:row>78</xdr:row>
      <xdr:rowOff>0</xdr:rowOff>
    </xdr:from>
    <xdr:to>
      <xdr:col>27</xdr:col>
      <xdr:colOff>228600</xdr:colOff>
      <xdr:row>93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20</xdr:col>
      <xdr:colOff>0</xdr:colOff>
      <xdr:row>97</xdr:row>
      <xdr:rowOff>0</xdr:rowOff>
    </xdr:from>
    <xdr:to>
      <xdr:col>27</xdr:col>
      <xdr:colOff>228600</xdr:colOff>
      <xdr:row>112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31</xdr:col>
      <xdr:colOff>0</xdr:colOff>
      <xdr:row>78</xdr:row>
      <xdr:rowOff>0</xdr:rowOff>
    </xdr:from>
    <xdr:to>
      <xdr:col>38</xdr:col>
      <xdr:colOff>228600</xdr:colOff>
      <xdr:row>93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31</xdr:col>
      <xdr:colOff>0</xdr:colOff>
      <xdr:row>97</xdr:row>
      <xdr:rowOff>0</xdr:rowOff>
    </xdr:from>
    <xdr:to>
      <xdr:col>38</xdr:col>
      <xdr:colOff>228600</xdr:colOff>
      <xdr:row>112</xdr:row>
      <xdr:rowOff>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43</xdr:col>
      <xdr:colOff>0</xdr:colOff>
      <xdr:row>78</xdr:row>
      <xdr:rowOff>0</xdr:rowOff>
    </xdr:from>
    <xdr:to>
      <xdr:col>50</xdr:col>
      <xdr:colOff>228600</xdr:colOff>
      <xdr:row>93</xdr:row>
      <xdr:rowOff>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43</xdr:col>
      <xdr:colOff>0</xdr:colOff>
      <xdr:row>97</xdr:row>
      <xdr:rowOff>0</xdr:rowOff>
    </xdr:from>
    <xdr:to>
      <xdr:col>50</xdr:col>
      <xdr:colOff>228600</xdr:colOff>
      <xdr:row>112</xdr:row>
      <xdr:rowOff>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53</xdr:col>
      <xdr:colOff>0</xdr:colOff>
      <xdr:row>78</xdr:row>
      <xdr:rowOff>0</xdr:rowOff>
    </xdr:from>
    <xdr:to>
      <xdr:col>60</xdr:col>
      <xdr:colOff>228600</xdr:colOff>
      <xdr:row>93</xdr:row>
      <xdr:rowOff>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53</xdr:col>
      <xdr:colOff>0</xdr:colOff>
      <xdr:row>97</xdr:row>
      <xdr:rowOff>0</xdr:rowOff>
    </xdr:from>
    <xdr:to>
      <xdr:col>60</xdr:col>
      <xdr:colOff>228600</xdr:colOff>
      <xdr:row>112</xdr:row>
      <xdr:rowOff>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0</xdr:colOff>
      <xdr:row>116</xdr:row>
      <xdr:rowOff>0</xdr:rowOff>
    </xdr:from>
    <xdr:to>
      <xdr:col>18</xdr:col>
      <xdr:colOff>466725</xdr:colOff>
      <xdr:row>131</xdr:row>
      <xdr:rowOff>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20</xdr:col>
      <xdr:colOff>0</xdr:colOff>
      <xdr:row>116</xdr:row>
      <xdr:rowOff>0</xdr:rowOff>
    </xdr:from>
    <xdr:to>
      <xdr:col>29</xdr:col>
      <xdr:colOff>466725</xdr:colOff>
      <xdr:row>131</xdr:row>
      <xdr:rowOff>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31</xdr:col>
      <xdr:colOff>0</xdr:colOff>
      <xdr:row>116</xdr:row>
      <xdr:rowOff>0</xdr:rowOff>
    </xdr:from>
    <xdr:to>
      <xdr:col>40</xdr:col>
      <xdr:colOff>466725</xdr:colOff>
      <xdr:row>131</xdr:row>
      <xdr:rowOff>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43</xdr:col>
      <xdr:colOff>0</xdr:colOff>
      <xdr:row>116</xdr:row>
      <xdr:rowOff>0</xdr:rowOff>
    </xdr:from>
    <xdr:to>
      <xdr:col>52</xdr:col>
      <xdr:colOff>466725</xdr:colOff>
      <xdr:row>131</xdr:row>
      <xdr:rowOff>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53</xdr:col>
      <xdr:colOff>0</xdr:colOff>
      <xdr:row>116</xdr:row>
      <xdr:rowOff>0</xdr:rowOff>
    </xdr:from>
    <xdr:to>
      <xdr:col>62</xdr:col>
      <xdr:colOff>466725</xdr:colOff>
      <xdr:row>131</xdr:row>
      <xdr:rowOff>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228600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228600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3</xdr:row>
      <xdr:rowOff>0</xdr:rowOff>
    </xdr:from>
    <xdr:to>
      <xdr:col>27</xdr:col>
      <xdr:colOff>228600</xdr:colOff>
      <xdr:row>16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0</xdr:colOff>
      <xdr:row>3</xdr:row>
      <xdr:rowOff>0</xdr:rowOff>
    </xdr:from>
    <xdr:to>
      <xdr:col>38</xdr:col>
      <xdr:colOff>228600</xdr:colOff>
      <xdr:row>16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0</xdr:colOff>
      <xdr:row>3</xdr:row>
      <xdr:rowOff>0</xdr:rowOff>
    </xdr:from>
    <xdr:to>
      <xdr:col>50</xdr:col>
      <xdr:colOff>228600</xdr:colOff>
      <xdr:row>16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53</xdr:col>
      <xdr:colOff>0</xdr:colOff>
      <xdr:row>3</xdr:row>
      <xdr:rowOff>0</xdr:rowOff>
    </xdr:from>
    <xdr:to>
      <xdr:col>60</xdr:col>
      <xdr:colOff>228600</xdr:colOff>
      <xdr:row>16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228600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16</xdr:col>
      <xdr:colOff>228600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228600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3</xdr:row>
      <xdr:rowOff>0</xdr:rowOff>
    </xdr:from>
    <xdr:to>
      <xdr:col>27</xdr:col>
      <xdr:colOff>228600</xdr:colOff>
      <xdr:row>18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21</xdr:row>
      <xdr:rowOff>0</xdr:rowOff>
    </xdr:from>
    <xdr:to>
      <xdr:col>27</xdr:col>
      <xdr:colOff>228600</xdr:colOff>
      <xdr:row>36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3</xdr:row>
      <xdr:rowOff>0</xdr:rowOff>
    </xdr:from>
    <xdr:to>
      <xdr:col>38</xdr:col>
      <xdr:colOff>228600</xdr:colOff>
      <xdr:row>18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0</xdr:colOff>
      <xdr:row>21</xdr:row>
      <xdr:rowOff>0</xdr:rowOff>
    </xdr:from>
    <xdr:to>
      <xdr:col>38</xdr:col>
      <xdr:colOff>228600</xdr:colOff>
      <xdr:row>36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43</xdr:col>
      <xdr:colOff>0</xdr:colOff>
      <xdr:row>3</xdr:row>
      <xdr:rowOff>0</xdr:rowOff>
    </xdr:from>
    <xdr:to>
      <xdr:col>50</xdr:col>
      <xdr:colOff>228600</xdr:colOff>
      <xdr:row>18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43</xdr:col>
      <xdr:colOff>0</xdr:colOff>
      <xdr:row>21</xdr:row>
      <xdr:rowOff>0</xdr:rowOff>
    </xdr:from>
    <xdr:to>
      <xdr:col>50</xdr:col>
      <xdr:colOff>228600</xdr:colOff>
      <xdr:row>36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53</xdr:col>
      <xdr:colOff>0</xdr:colOff>
      <xdr:row>3</xdr:row>
      <xdr:rowOff>0</xdr:rowOff>
    </xdr:from>
    <xdr:to>
      <xdr:col>60</xdr:col>
      <xdr:colOff>228600</xdr:colOff>
      <xdr:row>18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53</xdr:col>
      <xdr:colOff>0</xdr:colOff>
      <xdr:row>21</xdr:row>
      <xdr:rowOff>0</xdr:rowOff>
    </xdr:from>
    <xdr:to>
      <xdr:col>60</xdr:col>
      <xdr:colOff>228600</xdr:colOff>
      <xdr:row>36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40</xdr:row>
      <xdr:rowOff>0</xdr:rowOff>
    </xdr:from>
    <xdr:to>
      <xdr:col>16</xdr:col>
      <xdr:colOff>228600</xdr:colOff>
      <xdr:row>55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59</xdr:row>
      <xdr:rowOff>0</xdr:rowOff>
    </xdr:from>
    <xdr:to>
      <xdr:col>16</xdr:col>
      <xdr:colOff>228600</xdr:colOff>
      <xdr:row>74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27</xdr:col>
      <xdr:colOff>228600</xdr:colOff>
      <xdr:row>55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0</xdr:colOff>
      <xdr:row>59</xdr:row>
      <xdr:rowOff>0</xdr:rowOff>
    </xdr:from>
    <xdr:to>
      <xdr:col>27</xdr:col>
      <xdr:colOff>228600</xdr:colOff>
      <xdr:row>74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31</xdr:col>
      <xdr:colOff>0</xdr:colOff>
      <xdr:row>40</xdr:row>
      <xdr:rowOff>0</xdr:rowOff>
    </xdr:from>
    <xdr:to>
      <xdr:col>38</xdr:col>
      <xdr:colOff>228600</xdr:colOff>
      <xdr:row>55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59</xdr:row>
      <xdr:rowOff>0</xdr:rowOff>
    </xdr:from>
    <xdr:to>
      <xdr:col>38</xdr:col>
      <xdr:colOff>228600</xdr:colOff>
      <xdr:row>74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43</xdr:col>
      <xdr:colOff>0</xdr:colOff>
      <xdr:row>40</xdr:row>
      <xdr:rowOff>0</xdr:rowOff>
    </xdr:from>
    <xdr:to>
      <xdr:col>50</xdr:col>
      <xdr:colOff>228600</xdr:colOff>
      <xdr:row>55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43</xdr:col>
      <xdr:colOff>0</xdr:colOff>
      <xdr:row>59</xdr:row>
      <xdr:rowOff>0</xdr:rowOff>
    </xdr:from>
    <xdr:to>
      <xdr:col>50</xdr:col>
      <xdr:colOff>228600</xdr:colOff>
      <xdr:row>74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53</xdr:col>
      <xdr:colOff>0</xdr:colOff>
      <xdr:row>40</xdr:row>
      <xdr:rowOff>0</xdr:rowOff>
    </xdr:from>
    <xdr:to>
      <xdr:col>60</xdr:col>
      <xdr:colOff>228600</xdr:colOff>
      <xdr:row>55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53</xdr:col>
      <xdr:colOff>0</xdr:colOff>
      <xdr:row>59</xdr:row>
      <xdr:rowOff>0</xdr:rowOff>
    </xdr:from>
    <xdr:to>
      <xdr:col>60</xdr:col>
      <xdr:colOff>228600</xdr:colOff>
      <xdr:row>74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78</xdr:row>
      <xdr:rowOff>0</xdr:rowOff>
    </xdr:from>
    <xdr:to>
      <xdr:col>18</xdr:col>
      <xdr:colOff>466725</xdr:colOff>
      <xdr:row>93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20</xdr:col>
      <xdr:colOff>0</xdr:colOff>
      <xdr:row>78</xdr:row>
      <xdr:rowOff>0</xdr:rowOff>
    </xdr:from>
    <xdr:to>
      <xdr:col>29</xdr:col>
      <xdr:colOff>466725</xdr:colOff>
      <xdr:row>93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31</xdr:col>
      <xdr:colOff>0</xdr:colOff>
      <xdr:row>78</xdr:row>
      <xdr:rowOff>0</xdr:rowOff>
    </xdr:from>
    <xdr:to>
      <xdr:col>40</xdr:col>
      <xdr:colOff>466725</xdr:colOff>
      <xdr:row>93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43</xdr:col>
      <xdr:colOff>0</xdr:colOff>
      <xdr:row>78</xdr:row>
      <xdr:rowOff>0</xdr:rowOff>
    </xdr:from>
    <xdr:to>
      <xdr:col>52</xdr:col>
      <xdr:colOff>466725</xdr:colOff>
      <xdr:row>93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53</xdr:col>
      <xdr:colOff>0</xdr:colOff>
      <xdr:row>78</xdr:row>
      <xdr:rowOff>0</xdr:rowOff>
    </xdr:from>
    <xdr:to>
      <xdr:col>62</xdr:col>
      <xdr:colOff>466725</xdr:colOff>
      <xdr:row>93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228600</xdr:colOff>
      <xdr:row>16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16</xdr:col>
      <xdr:colOff>228600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228600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3</xdr:row>
      <xdr:rowOff>0</xdr:rowOff>
    </xdr:from>
    <xdr:to>
      <xdr:col>27</xdr:col>
      <xdr:colOff>228600</xdr:colOff>
      <xdr:row>18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0</xdr:colOff>
      <xdr:row>21</xdr:row>
      <xdr:rowOff>0</xdr:rowOff>
    </xdr:from>
    <xdr:to>
      <xdr:col>27</xdr:col>
      <xdr:colOff>228600</xdr:colOff>
      <xdr:row>36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3</xdr:row>
      <xdr:rowOff>0</xdr:rowOff>
    </xdr:from>
    <xdr:to>
      <xdr:col>38</xdr:col>
      <xdr:colOff>228600</xdr:colOff>
      <xdr:row>18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0</xdr:colOff>
      <xdr:row>21</xdr:row>
      <xdr:rowOff>0</xdr:rowOff>
    </xdr:from>
    <xdr:to>
      <xdr:col>38</xdr:col>
      <xdr:colOff>228600</xdr:colOff>
      <xdr:row>36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43</xdr:col>
      <xdr:colOff>0</xdr:colOff>
      <xdr:row>3</xdr:row>
      <xdr:rowOff>0</xdr:rowOff>
    </xdr:from>
    <xdr:to>
      <xdr:col>50</xdr:col>
      <xdr:colOff>228600</xdr:colOff>
      <xdr:row>18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43</xdr:col>
      <xdr:colOff>0</xdr:colOff>
      <xdr:row>21</xdr:row>
      <xdr:rowOff>0</xdr:rowOff>
    </xdr:from>
    <xdr:to>
      <xdr:col>50</xdr:col>
      <xdr:colOff>228600</xdr:colOff>
      <xdr:row>36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53</xdr:col>
      <xdr:colOff>0</xdr:colOff>
      <xdr:row>3</xdr:row>
      <xdr:rowOff>0</xdr:rowOff>
    </xdr:from>
    <xdr:to>
      <xdr:col>60</xdr:col>
      <xdr:colOff>228600</xdr:colOff>
      <xdr:row>18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53</xdr:col>
      <xdr:colOff>0</xdr:colOff>
      <xdr:row>21</xdr:row>
      <xdr:rowOff>0</xdr:rowOff>
    </xdr:from>
    <xdr:to>
      <xdr:col>60</xdr:col>
      <xdr:colOff>228600</xdr:colOff>
      <xdr:row>36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40</xdr:row>
      <xdr:rowOff>0</xdr:rowOff>
    </xdr:from>
    <xdr:to>
      <xdr:col>16</xdr:col>
      <xdr:colOff>228600</xdr:colOff>
      <xdr:row>55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59</xdr:row>
      <xdr:rowOff>0</xdr:rowOff>
    </xdr:from>
    <xdr:to>
      <xdr:col>16</xdr:col>
      <xdr:colOff>228600</xdr:colOff>
      <xdr:row>74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27</xdr:col>
      <xdr:colOff>228600</xdr:colOff>
      <xdr:row>55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0</xdr:colOff>
      <xdr:row>59</xdr:row>
      <xdr:rowOff>0</xdr:rowOff>
    </xdr:from>
    <xdr:to>
      <xdr:col>27</xdr:col>
      <xdr:colOff>228600</xdr:colOff>
      <xdr:row>74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31</xdr:col>
      <xdr:colOff>0</xdr:colOff>
      <xdr:row>40</xdr:row>
      <xdr:rowOff>0</xdr:rowOff>
    </xdr:from>
    <xdr:to>
      <xdr:col>38</xdr:col>
      <xdr:colOff>228600</xdr:colOff>
      <xdr:row>55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0</xdr:colOff>
      <xdr:row>59</xdr:row>
      <xdr:rowOff>0</xdr:rowOff>
    </xdr:from>
    <xdr:to>
      <xdr:col>38</xdr:col>
      <xdr:colOff>228600</xdr:colOff>
      <xdr:row>74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43</xdr:col>
      <xdr:colOff>0</xdr:colOff>
      <xdr:row>40</xdr:row>
      <xdr:rowOff>0</xdr:rowOff>
    </xdr:from>
    <xdr:to>
      <xdr:col>50</xdr:col>
      <xdr:colOff>228600</xdr:colOff>
      <xdr:row>55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43</xdr:col>
      <xdr:colOff>0</xdr:colOff>
      <xdr:row>59</xdr:row>
      <xdr:rowOff>0</xdr:rowOff>
    </xdr:from>
    <xdr:to>
      <xdr:col>50</xdr:col>
      <xdr:colOff>228600</xdr:colOff>
      <xdr:row>74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53</xdr:col>
      <xdr:colOff>0</xdr:colOff>
      <xdr:row>40</xdr:row>
      <xdr:rowOff>0</xdr:rowOff>
    </xdr:from>
    <xdr:to>
      <xdr:col>60</xdr:col>
      <xdr:colOff>228600</xdr:colOff>
      <xdr:row>55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53</xdr:col>
      <xdr:colOff>0</xdr:colOff>
      <xdr:row>59</xdr:row>
      <xdr:rowOff>0</xdr:rowOff>
    </xdr:from>
    <xdr:to>
      <xdr:col>60</xdr:col>
      <xdr:colOff>228600</xdr:colOff>
      <xdr:row>74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78</xdr:row>
      <xdr:rowOff>0</xdr:rowOff>
    </xdr:from>
    <xdr:to>
      <xdr:col>18</xdr:col>
      <xdr:colOff>466725</xdr:colOff>
      <xdr:row>93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20</xdr:col>
      <xdr:colOff>0</xdr:colOff>
      <xdr:row>78</xdr:row>
      <xdr:rowOff>0</xdr:rowOff>
    </xdr:from>
    <xdr:to>
      <xdr:col>29</xdr:col>
      <xdr:colOff>466725</xdr:colOff>
      <xdr:row>93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31</xdr:col>
      <xdr:colOff>0</xdr:colOff>
      <xdr:row>78</xdr:row>
      <xdr:rowOff>0</xdr:rowOff>
    </xdr:from>
    <xdr:to>
      <xdr:col>40</xdr:col>
      <xdr:colOff>466725</xdr:colOff>
      <xdr:row>93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43</xdr:col>
      <xdr:colOff>0</xdr:colOff>
      <xdr:row>78</xdr:row>
      <xdr:rowOff>0</xdr:rowOff>
    </xdr:from>
    <xdr:to>
      <xdr:col>52</xdr:col>
      <xdr:colOff>466725</xdr:colOff>
      <xdr:row>93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53</xdr:col>
      <xdr:colOff>0</xdr:colOff>
      <xdr:row>78</xdr:row>
      <xdr:rowOff>0</xdr:rowOff>
    </xdr:from>
    <xdr:to>
      <xdr:col>62</xdr:col>
      <xdr:colOff>466725</xdr:colOff>
      <xdr:row>93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47625</xdr:rowOff>
    </xdr:from>
    <xdr:to>
      <xdr:col>14</xdr:col>
      <xdr:colOff>466724</xdr:colOff>
      <xdr:row>25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92DC44-B965-4B8C-BD66-C10752F6C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28</xdr:row>
      <xdr:rowOff>9525</xdr:rowOff>
    </xdr:from>
    <xdr:to>
      <xdr:col>14</xdr:col>
      <xdr:colOff>457199</xdr:colOff>
      <xdr:row>51</xdr:row>
      <xdr:rowOff>28574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123BD86-A571-4C3C-92B7-10F8F2D40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53</xdr:row>
      <xdr:rowOff>28575</xdr:rowOff>
    </xdr:from>
    <xdr:to>
      <xdr:col>14</xdr:col>
      <xdr:colOff>485775</xdr:colOff>
      <xdr:row>76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D20AD6-61CC-49A9-822B-B27893A3F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B78"/>
  <sheetViews>
    <sheetView tabSelected="1" workbookViewId="0"/>
  </sheetViews>
  <sheetFormatPr defaultRowHeight="15" x14ac:dyDescent="0.25"/>
  <sheetData>
    <row r="3" spans="2:54" x14ac:dyDescent="0.25">
      <c r="B3" t="s">
        <v>19</v>
      </c>
      <c r="J3" t="s">
        <v>29</v>
      </c>
      <c r="U3" t="s">
        <v>31</v>
      </c>
      <c r="AF3" t="s">
        <v>33</v>
      </c>
      <c r="AR3" t="s">
        <v>35</v>
      </c>
      <c r="BB3" t="s">
        <v>37</v>
      </c>
    </row>
    <row r="21" spans="10:54" x14ac:dyDescent="0.25">
      <c r="J21" t="s">
        <v>30</v>
      </c>
      <c r="U21" t="s">
        <v>32</v>
      </c>
      <c r="AF21" t="s">
        <v>34</v>
      </c>
      <c r="AR21" t="s">
        <v>36</v>
      </c>
      <c r="BB21" t="s">
        <v>38</v>
      </c>
    </row>
    <row r="40" spans="10:54" x14ac:dyDescent="0.25">
      <c r="J40" t="s">
        <v>52</v>
      </c>
      <c r="U40" t="s">
        <v>54</v>
      </c>
      <c r="AF40" t="s">
        <v>56</v>
      </c>
      <c r="AR40" t="s">
        <v>58</v>
      </c>
      <c r="BB40" t="s">
        <v>60</v>
      </c>
    </row>
    <row r="59" spans="10:54" x14ac:dyDescent="0.25">
      <c r="J59" t="s">
        <v>53</v>
      </c>
      <c r="U59" t="s">
        <v>55</v>
      </c>
      <c r="AF59" t="s">
        <v>57</v>
      </c>
      <c r="AR59" t="s">
        <v>59</v>
      </c>
      <c r="BB59" t="s">
        <v>61</v>
      </c>
    </row>
    <row r="78" spans="10:54" x14ac:dyDescent="0.25">
      <c r="J78" t="s">
        <v>62</v>
      </c>
      <c r="U78" t="s">
        <v>63</v>
      </c>
      <c r="AF78" t="s">
        <v>64</v>
      </c>
      <c r="AR78" t="s">
        <v>65</v>
      </c>
      <c r="BB78" t="s">
        <v>66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8"/>
  <sheetViews>
    <sheetView workbookViewId="0"/>
  </sheetViews>
  <sheetFormatPr defaultRowHeight="15" x14ac:dyDescent="0.25"/>
  <cols>
    <col min="36" max="54" width="20.7109375" customWidth="1"/>
  </cols>
  <sheetData>
    <row r="1" spans="1:49" x14ac:dyDescent="0.25">
      <c r="A1" t="s">
        <v>11</v>
      </c>
      <c r="B1" t="s">
        <v>67</v>
      </c>
    </row>
    <row r="3" spans="1:49" x14ac:dyDescent="0.25">
      <c r="A3" s="1" t="s">
        <v>0</v>
      </c>
      <c r="B3" s="1">
        <v>2019</v>
      </c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  <c r="I3" s="1">
        <v>2026</v>
      </c>
      <c r="J3" s="1">
        <v>2027</v>
      </c>
      <c r="K3" s="1">
        <v>2028</v>
      </c>
      <c r="L3" s="1">
        <v>2029</v>
      </c>
      <c r="M3" s="1">
        <v>2030</v>
      </c>
      <c r="N3" s="1">
        <v>2031</v>
      </c>
      <c r="O3" s="1">
        <v>2032</v>
      </c>
      <c r="P3" s="1">
        <v>2033</v>
      </c>
      <c r="Q3" s="1">
        <v>2034</v>
      </c>
      <c r="R3" s="1">
        <v>2035</v>
      </c>
      <c r="S3" s="1">
        <v>2036</v>
      </c>
      <c r="T3" s="1">
        <v>2037</v>
      </c>
      <c r="U3" s="1">
        <v>2038</v>
      </c>
      <c r="V3" s="1">
        <v>2039</v>
      </c>
      <c r="W3" s="1">
        <v>2040</v>
      </c>
      <c r="X3" s="1">
        <v>2041</v>
      </c>
      <c r="Y3" s="1">
        <v>2042</v>
      </c>
      <c r="Z3" s="1">
        <v>2043</v>
      </c>
      <c r="AA3" s="1">
        <v>2044</v>
      </c>
      <c r="AB3" s="1">
        <v>2045</v>
      </c>
      <c r="AC3" s="1">
        <v>2046</v>
      </c>
      <c r="AD3" s="1">
        <v>2047</v>
      </c>
      <c r="AE3" s="1">
        <v>2048</v>
      </c>
      <c r="AF3" s="1">
        <v>2049</v>
      </c>
      <c r="AG3" s="1">
        <v>2050</v>
      </c>
      <c r="AK3" s="2">
        <f ca="1">INDIRECT(ADDRESS(3,2))</f>
        <v>2019</v>
      </c>
      <c r="AL3" s="2">
        <f ca="1">INDIRECT(ADDRESS(3,8))</f>
        <v>2025</v>
      </c>
      <c r="AM3" s="2" t="str">
        <f ca="1">CONCATENATE("% change ",INDIRECT(ADDRESS(3,2)),"-",INDIRECT(ADDRESS(3,8)))</f>
        <v>% change 2019-2025</v>
      </c>
      <c r="AN3" s="2">
        <f ca="1">INDIRECT(ADDRESS(3,13))</f>
        <v>2030</v>
      </c>
      <c r="AO3" s="2" t="str">
        <f ca="1">CONCATENATE("% change ",INDIRECT(ADDRESS(3,2)),"-",INDIRECT(ADDRESS(3,13)))</f>
        <v>% change 2019-2030</v>
      </c>
      <c r="AP3" s="2">
        <f ca="1">INDIRECT(ADDRESS(3,18))</f>
        <v>2035</v>
      </c>
      <c r="AQ3" s="2" t="str">
        <f ca="1">CONCATENATE("% change ",INDIRECT(ADDRESS(3,2)),"-",INDIRECT(ADDRESS(3,18)))</f>
        <v>% change 2019-2035</v>
      </c>
      <c r="AR3" s="2">
        <f ca="1">INDIRECT(ADDRESS(3,23))</f>
        <v>2040</v>
      </c>
      <c r="AS3" s="2" t="str">
        <f ca="1">CONCATENATE("% change ",INDIRECT(ADDRESS(3,2)),"-",INDIRECT(ADDRESS(3,23)))</f>
        <v>% change 2019-2040</v>
      </c>
      <c r="AT3" s="2">
        <f ca="1">INDIRECT(ADDRESS(3,28))</f>
        <v>2045</v>
      </c>
      <c r="AU3" s="2" t="str">
        <f ca="1">CONCATENATE("% change ",INDIRECT(ADDRESS(3,2)),"-",INDIRECT(ADDRESS(3,28)))</f>
        <v>% change 2019-2045</v>
      </c>
      <c r="AV3" s="2">
        <f ca="1">INDIRECT(ADDRESS(3,33))</f>
        <v>2050</v>
      </c>
      <c r="AW3" s="2" t="str">
        <f ca="1">CONCATENATE("% change ",INDIRECT(ADDRESS(3,2)),"-",INDIRECT(ADDRESS(3,33)))</f>
        <v>% change 2019-2050</v>
      </c>
    </row>
    <row r="4" spans="1:49" x14ac:dyDescent="0.25">
      <c r="A4" s="1" t="s">
        <v>2</v>
      </c>
      <c r="B4">
        <v>13.93577</v>
      </c>
      <c r="C4">
        <v>13.670249999999999</v>
      </c>
      <c r="D4">
        <v>13.293670000000001</v>
      </c>
      <c r="E4">
        <v>12.93845</v>
      </c>
      <c r="F4">
        <v>12.537990000000001</v>
      </c>
      <c r="G4">
        <v>12.042210000000001</v>
      </c>
      <c r="H4">
        <v>9.5670140000000004</v>
      </c>
      <c r="I4">
        <v>9.0060020000000005</v>
      </c>
      <c r="J4">
        <v>8.4451590000000003</v>
      </c>
      <c r="K4">
        <v>7.8890320000000003</v>
      </c>
      <c r="L4">
        <v>7.3337450000000004</v>
      </c>
      <c r="M4">
        <v>6.262842</v>
      </c>
      <c r="N4">
        <v>5.7893470000000002</v>
      </c>
      <c r="O4">
        <v>5.348598</v>
      </c>
      <c r="P4">
        <v>4.9332459999999996</v>
      </c>
      <c r="Q4">
        <v>4.5186260000000003</v>
      </c>
      <c r="R4">
        <v>4.1524989999999997</v>
      </c>
      <c r="S4">
        <v>3.9006599999999998</v>
      </c>
      <c r="T4">
        <v>3.65964</v>
      </c>
      <c r="U4">
        <v>3.4320270000000002</v>
      </c>
      <c r="V4">
        <v>3.2357749999999998</v>
      </c>
      <c r="W4">
        <v>3.0577960000000002</v>
      </c>
      <c r="X4">
        <v>2.936553</v>
      </c>
      <c r="Y4">
        <v>2.8237040000000002</v>
      </c>
      <c r="Z4">
        <v>2.7193450000000001</v>
      </c>
      <c r="AA4">
        <v>2.6222569999999998</v>
      </c>
      <c r="AB4">
        <v>2.4105530000000002</v>
      </c>
      <c r="AC4">
        <v>2.340357</v>
      </c>
      <c r="AD4">
        <v>2.2760419999999999</v>
      </c>
      <c r="AE4">
        <v>2.2182010000000001</v>
      </c>
      <c r="AF4">
        <v>2.1680299999999999</v>
      </c>
      <c r="AG4">
        <v>2.1206360000000002</v>
      </c>
      <c r="AJ4" s="3" t="str">
        <f ca="1">INDIRECT(ADDRESS(4,1))</f>
        <v>AltFuels</v>
      </c>
      <c r="AK4" s="3">
        <f ca="1">INDIRECT(ADDRESS(4,2))</f>
        <v>13.93577</v>
      </c>
      <c r="AL4" s="3">
        <f ca="1">INDIRECT(ADDRESS(4,8))</f>
        <v>9.5670140000000004</v>
      </c>
      <c r="AM4" s="4">
        <f ca="1">IFERROR((INDIRECT(ADDRESS(4,8)) - INDIRECT(ADDRESS(4,2)))/ INDIRECT(ADDRESS(4,2)),1)</f>
        <v>-0.31349225769369038</v>
      </c>
      <c r="AN4" s="3">
        <f ca="1">INDIRECT(ADDRESS(4,13))</f>
        <v>6.262842</v>
      </c>
      <c r="AO4" s="4">
        <f ca="1">IFERROR((INDIRECT(ADDRESS(4,13)) - INDIRECT(ADDRESS(4,2)))/ INDIRECT(ADDRESS(4,2)),1)</f>
        <v>-0.55059232464370467</v>
      </c>
      <c r="AP4" s="3">
        <f ca="1">INDIRECT(ADDRESS(4,18))</f>
        <v>4.1524989999999997</v>
      </c>
      <c r="AQ4" s="4">
        <f ca="1">IFERROR((INDIRECT(ADDRESS(4,18)) - INDIRECT(ADDRESS(4,2)))/ INDIRECT(ADDRESS(4,2)),1)</f>
        <v>-0.70202586581150517</v>
      </c>
      <c r="AR4" s="3">
        <f ca="1">INDIRECT(ADDRESS(4,23))</f>
        <v>3.0577960000000002</v>
      </c>
      <c r="AS4" s="4">
        <f ca="1">IFERROR((INDIRECT(ADDRESS(4,23)) - INDIRECT(ADDRESS(4,2)))/ INDIRECT(ADDRESS(4,2)),1)</f>
        <v>-0.78057932930867835</v>
      </c>
      <c r="AT4" s="3">
        <f ca="1">INDIRECT(ADDRESS(4,28))</f>
        <v>2.4105530000000002</v>
      </c>
      <c r="AU4" s="4">
        <f ca="1">IFERROR((INDIRECT(ADDRESS(4,28)) - INDIRECT(ADDRESS(4,2)))/ INDIRECT(ADDRESS(4,2)),1)</f>
        <v>-0.8270240539274113</v>
      </c>
      <c r="AV4" s="3">
        <f ca="1">INDIRECT(ADDRESS(4,33))</f>
        <v>2.1206360000000002</v>
      </c>
      <c r="AW4" s="4">
        <f ca="1">IFERROR((INDIRECT(ADDRESS(4,33)) - INDIRECT(ADDRESS(4,2)))/ INDIRECT(ADDRESS(4,2)),1)</f>
        <v>-0.84782785594193943</v>
      </c>
    </row>
    <row r="5" spans="1:49" x14ac:dyDescent="0.25">
      <c r="A5" s="1" t="s">
        <v>3</v>
      </c>
      <c r="B5">
        <v>13.93577</v>
      </c>
      <c r="C5">
        <v>13.66981</v>
      </c>
      <c r="D5">
        <v>13.415710000000001</v>
      </c>
      <c r="E5">
        <v>13.139049999999999</v>
      </c>
      <c r="F5">
        <v>12.479329999999999</v>
      </c>
      <c r="G5">
        <v>11.780099999999999</v>
      </c>
      <c r="H5">
        <v>9.4168769999999995</v>
      </c>
      <c r="I5">
        <v>8.828856</v>
      </c>
      <c r="J5">
        <v>8.2574869999999994</v>
      </c>
      <c r="K5">
        <v>7.7073039999999997</v>
      </c>
      <c r="L5">
        <v>7.1791600000000004</v>
      </c>
      <c r="M5">
        <v>6.3323429999999998</v>
      </c>
      <c r="N5">
        <v>6.0425490000000002</v>
      </c>
      <c r="O5">
        <v>5.7763869999999997</v>
      </c>
      <c r="P5">
        <v>5.5270960000000002</v>
      </c>
      <c r="Q5">
        <v>5.2753449999999997</v>
      </c>
      <c r="R5">
        <v>5.0600670000000001</v>
      </c>
      <c r="S5">
        <v>4.8503069999999999</v>
      </c>
      <c r="T5">
        <v>4.6506049999999997</v>
      </c>
      <c r="U5">
        <v>4.4625320000000004</v>
      </c>
      <c r="V5">
        <v>4.3089310000000003</v>
      </c>
      <c r="W5">
        <v>4.170452</v>
      </c>
      <c r="X5">
        <v>3.9853190000000001</v>
      </c>
      <c r="Y5">
        <v>3.812141</v>
      </c>
      <c r="Z5">
        <v>3.6503429999999999</v>
      </c>
      <c r="AA5">
        <v>3.497239</v>
      </c>
      <c r="AB5">
        <v>3.3207870000000002</v>
      </c>
      <c r="AC5">
        <v>3.200339</v>
      </c>
      <c r="AD5">
        <v>3.0863160000000001</v>
      </c>
      <c r="AE5">
        <v>2.9775529999999999</v>
      </c>
      <c r="AF5">
        <v>2.8725209999999999</v>
      </c>
      <c r="AG5">
        <v>2.7723550000000001</v>
      </c>
      <c r="AJ5" s="3" t="str">
        <f ca="1">INDIRECT(ADDRESS(5,1))</f>
        <v>BAP</v>
      </c>
      <c r="AK5" s="3">
        <f ca="1">INDIRECT(ADDRESS(5,2))</f>
        <v>13.93577</v>
      </c>
      <c r="AL5" s="3">
        <f ca="1">INDIRECT(ADDRESS(5,8))</f>
        <v>9.4168769999999995</v>
      </c>
      <c r="AM5" s="4">
        <f ca="1">IFERROR((INDIRECT(ADDRESS(5,8)) - INDIRECT(ADDRESS(5,2)))/ INDIRECT(ADDRESS(5,2)),1)</f>
        <v>-0.32426575639523331</v>
      </c>
      <c r="AN5" s="3">
        <f ca="1">INDIRECT(ADDRESS(5,13))</f>
        <v>6.3323429999999998</v>
      </c>
      <c r="AO5" s="4">
        <f ca="1">IFERROR((INDIRECT(ADDRESS(5,13)) - INDIRECT(ADDRESS(5,2)))/ INDIRECT(ADDRESS(5,2)),1)</f>
        <v>-0.54560508676592678</v>
      </c>
      <c r="AP5" s="3">
        <f ca="1">INDIRECT(ADDRESS(5,18))</f>
        <v>5.0600670000000001</v>
      </c>
      <c r="AQ5" s="4">
        <f ca="1">IFERROR((INDIRECT(ADDRESS(5,18)) - INDIRECT(ADDRESS(5,2)))/ INDIRECT(ADDRESS(5,2)),1)</f>
        <v>-0.63690079557857227</v>
      </c>
      <c r="AR5" s="3">
        <f ca="1">INDIRECT(ADDRESS(5,23))</f>
        <v>4.170452</v>
      </c>
      <c r="AS5" s="4">
        <f ca="1">IFERROR((INDIRECT(ADDRESS(5,23)) - INDIRECT(ADDRESS(5,2)))/ INDIRECT(ADDRESS(5,2)),1)</f>
        <v>-0.70073759828125759</v>
      </c>
      <c r="AT5" s="3">
        <f ca="1">INDIRECT(ADDRESS(5,28))</f>
        <v>3.3207870000000002</v>
      </c>
      <c r="AU5" s="4">
        <f ca="1">IFERROR((INDIRECT(ADDRESS(5,28)) - INDIRECT(ADDRESS(5,2)))/ INDIRECT(ADDRESS(5,2)),1)</f>
        <v>-0.76170767743727108</v>
      </c>
      <c r="AV5" s="3">
        <f ca="1">INDIRECT(ADDRESS(5,33))</f>
        <v>2.7723550000000001</v>
      </c>
      <c r="AW5" s="4">
        <f ca="1">IFERROR((INDIRECT(ADDRESS(5,33)) - INDIRECT(ADDRESS(5,2)))/ INDIRECT(ADDRESS(5,2)),1)</f>
        <v>-0.80106194347352178</v>
      </c>
    </row>
    <row r="6" spans="1:49" x14ac:dyDescent="0.25">
      <c r="A6" s="1" t="s">
        <v>4</v>
      </c>
      <c r="B6">
        <v>13.93577</v>
      </c>
      <c r="C6">
        <v>13.710290000000001</v>
      </c>
      <c r="D6">
        <v>13.57314</v>
      </c>
      <c r="E6">
        <v>13.41652</v>
      </c>
      <c r="F6">
        <v>13.275499999999999</v>
      </c>
      <c r="G6">
        <v>13.11084</v>
      </c>
      <c r="H6">
        <v>12.85275</v>
      </c>
      <c r="I6">
        <v>12.65422</v>
      </c>
      <c r="J6">
        <v>12.455450000000001</v>
      </c>
      <c r="K6">
        <v>12.264060000000001</v>
      </c>
      <c r="L6">
        <v>12.089270000000001</v>
      </c>
      <c r="M6">
        <v>11.95002</v>
      </c>
      <c r="N6">
        <v>11.83347</v>
      </c>
      <c r="O6">
        <v>11.73859</v>
      </c>
      <c r="P6">
        <v>11.65532</v>
      </c>
      <c r="Q6">
        <v>11.560829999999999</v>
      </c>
      <c r="R6">
        <v>11.487120000000001</v>
      </c>
      <c r="S6">
        <v>11.410740000000001</v>
      </c>
      <c r="T6">
        <v>11.3367</v>
      </c>
      <c r="U6">
        <v>11.266170000000001</v>
      </c>
      <c r="V6">
        <v>11.20077</v>
      </c>
      <c r="W6">
        <v>11.13964</v>
      </c>
      <c r="X6">
        <v>11.07757</v>
      </c>
      <c r="Y6">
        <v>11.01632</v>
      </c>
      <c r="Z6">
        <v>10.95598</v>
      </c>
      <c r="AA6">
        <v>10.89725</v>
      </c>
      <c r="AB6">
        <v>10.84066</v>
      </c>
      <c r="AC6">
        <v>10.78623</v>
      </c>
      <c r="AD6">
        <v>10.73521</v>
      </c>
      <c r="AE6">
        <v>10.68737</v>
      </c>
      <c r="AF6">
        <v>10.64218</v>
      </c>
      <c r="AG6">
        <v>10.59835</v>
      </c>
      <c r="AJ6" s="3" t="str">
        <f ca="1">INDIRECT(ADDRESS(6,1))</f>
        <v>BAU</v>
      </c>
      <c r="AK6" s="3">
        <f ca="1">INDIRECT(ADDRESS(6,2))</f>
        <v>13.93577</v>
      </c>
      <c r="AL6" s="3">
        <f ca="1">INDIRECT(ADDRESS(6,8))</f>
        <v>12.85275</v>
      </c>
      <c r="AM6" s="4">
        <f ca="1">IFERROR((INDIRECT(ADDRESS(6,8)) - INDIRECT(ADDRESS(6,2)))/ INDIRECT(ADDRESS(6,2)),1)</f>
        <v>-7.7715117284513122E-2</v>
      </c>
      <c r="AN6" s="3">
        <f ca="1">INDIRECT(ADDRESS(6,13))</f>
        <v>11.95002</v>
      </c>
      <c r="AO6" s="4">
        <f ca="1">IFERROR((INDIRECT(ADDRESS(6,13)) - INDIRECT(ADDRESS(6,2)))/ INDIRECT(ADDRESS(6,2)),1)</f>
        <v>-0.14249302334926592</v>
      </c>
      <c r="AP6" s="3">
        <f ca="1">INDIRECT(ADDRESS(6,18))</f>
        <v>11.487120000000001</v>
      </c>
      <c r="AQ6" s="4">
        <f ca="1">IFERROR((INDIRECT(ADDRESS(6,18)) - INDIRECT(ADDRESS(6,2)))/ INDIRECT(ADDRESS(6,2)),1)</f>
        <v>-0.17570970244198914</v>
      </c>
      <c r="AR6" s="3">
        <f ca="1">INDIRECT(ADDRESS(6,23))</f>
        <v>11.13964</v>
      </c>
      <c r="AS6" s="4">
        <f ca="1">IFERROR((INDIRECT(ADDRESS(6,23)) - INDIRECT(ADDRESS(6,2)))/ INDIRECT(ADDRESS(6,2)),1)</f>
        <v>-0.20064409788623089</v>
      </c>
      <c r="AT6" s="3">
        <f ca="1">INDIRECT(ADDRESS(6,28))</f>
        <v>10.84066</v>
      </c>
      <c r="AU6" s="4">
        <f ca="1">IFERROR((INDIRECT(ADDRESS(6,28)) - INDIRECT(ADDRESS(6,2)))/ INDIRECT(ADDRESS(6,2)),1)</f>
        <v>-0.22209824071436313</v>
      </c>
      <c r="AV6" s="3">
        <f ca="1">INDIRECT(ADDRESS(6,33))</f>
        <v>10.59835</v>
      </c>
      <c r="AW6" s="4">
        <f ca="1">IFERROR((INDIRECT(ADDRESS(6,33)) - INDIRECT(ADDRESS(6,2)))/ INDIRECT(ADDRESS(6,2)),1)</f>
        <v>-0.23948586981558967</v>
      </c>
    </row>
    <row r="7" spans="1:49" x14ac:dyDescent="0.25">
      <c r="A7" s="1" t="s">
        <v>5</v>
      </c>
      <c r="B7">
        <v>13.93577</v>
      </c>
      <c r="C7">
        <v>13.671559999999999</v>
      </c>
      <c r="D7">
        <v>13.30058</v>
      </c>
      <c r="E7">
        <v>12.913320000000001</v>
      </c>
      <c r="F7">
        <v>12.48822</v>
      </c>
      <c r="G7">
        <v>11.99089</v>
      </c>
      <c r="H7">
        <v>9.5215999999999994</v>
      </c>
      <c r="I7">
        <v>8.9933340000000008</v>
      </c>
      <c r="J7">
        <v>8.470936</v>
      </c>
      <c r="K7">
        <v>7.9579959999999996</v>
      </c>
      <c r="L7">
        <v>7.4413809999999998</v>
      </c>
      <c r="M7">
        <v>6.4116530000000003</v>
      </c>
      <c r="N7">
        <v>5.9945810000000002</v>
      </c>
      <c r="O7">
        <v>5.6088979999999999</v>
      </c>
      <c r="P7">
        <v>5.2478809999999996</v>
      </c>
      <c r="Q7">
        <v>4.8876010000000001</v>
      </c>
      <c r="R7">
        <v>4.5771030000000001</v>
      </c>
      <c r="S7">
        <v>4.3363100000000001</v>
      </c>
      <c r="T7">
        <v>4.1079210000000002</v>
      </c>
      <c r="U7">
        <v>3.8948260000000001</v>
      </c>
      <c r="V7">
        <v>3.7156389999999999</v>
      </c>
      <c r="W7">
        <v>3.5550570000000001</v>
      </c>
      <c r="X7">
        <v>3.4348100000000001</v>
      </c>
      <c r="Y7">
        <v>3.3230189999999999</v>
      </c>
      <c r="Z7">
        <v>3.2198470000000001</v>
      </c>
      <c r="AA7">
        <v>3.1241949999999998</v>
      </c>
      <c r="AB7">
        <v>2.9111449999999999</v>
      </c>
      <c r="AC7">
        <v>2.8360820000000002</v>
      </c>
      <c r="AD7">
        <v>2.7670270000000001</v>
      </c>
      <c r="AE7">
        <v>2.7030240000000001</v>
      </c>
      <c r="AF7">
        <v>2.6419730000000001</v>
      </c>
      <c r="AG7">
        <v>2.5863429999999998</v>
      </c>
      <c r="AJ7" s="3" t="str">
        <f ca="1">INDIRECT(ADDRESS(7,1))</f>
        <v>Elec</v>
      </c>
      <c r="AK7" s="3">
        <f ca="1">INDIRECT(ADDRESS(7,2))</f>
        <v>13.93577</v>
      </c>
      <c r="AL7" s="3">
        <f ca="1">INDIRECT(ADDRESS(7,8))</f>
        <v>9.5215999999999994</v>
      </c>
      <c r="AM7" s="4">
        <f ca="1">IFERROR((INDIRECT(ADDRESS(7,8)) - INDIRECT(ADDRESS(7,2)))/ INDIRECT(ADDRESS(7,2)),1)</f>
        <v>-0.31675106578251511</v>
      </c>
      <c r="AN7" s="3">
        <f ca="1">INDIRECT(ADDRESS(7,13))</f>
        <v>6.4116530000000003</v>
      </c>
      <c r="AO7" s="4">
        <f ca="1">IFERROR((INDIRECT(ADDRESS(7,13)) - INDIRECT(ADDRESS(7,2)))/ INDIRECT(ADDRESS(7,2)),1)</f>
        <v>-0.53991397676626407</v>
      </c>
      <c r="AP7" s="3">
        <f ca="1">INDIRECT(ADDRESS(7,18))</f>
        <v>4.5771030000000001</v>
      </c>
      <c r="AQ7" s="4">
        <f ca="1">IFERROR((INDIRECT(ADDRESS(7,18)) - INDIRECT(ADDRESS(7,2)))/ INDIRECT(ADDRESS(7,2)),1)</f>
        <v>-0.67155722288757635</v>
      </c>
      <c r="AR7" s="3">
        <f ca="1">INDIRECT(ADDRESS(7,23))</f>
        <v>3.5550570000000001</v>
      </c>
      <c r="AS7" s="4">
        <f ca="1">IFERROR((INDIRECT(ADDRESS(7,23)) - INDIRECT(ADDRESS(7,2)))/ INDIRECT(ADDRESS(7,2)),1)</f>
        <v>-0.74489698093467394</v>
      </c>
      <c r="AT7" s="3">
        <f ca="1">INDIRECT(ADDRESS(7,28))</f>
        <v>2.9111449999999999</v>
      </c>
      <c r="AU7" s="4">
        <f ca="1">IFERROR((INDIRECT(ADDRESS(7,28)) - INDIRECT(ADDRESS(7,2)))/ INDIRECT(ADDRESS(7,2)),1)</f>
        <v>-0.79110268036857678</v>
      </c>
      <c r="AV7" s="3">
        <f ca="1">INDIRECT(ADDRESS(7,33))</f>
        <v>2.5863429999999998</v>
      </c>
      <c r="AW7" s="4">
        <f ca="1">IFERROR((INDIRECT(ADDRESS(7,33)) - INDIRECT(ADDRESS(7,2)))/ INDIRECT(ADDRESS(7,2)),1)</f>
        <v>-0.81440975274419714</v>
      </c>
    </row>
    <row r="8" spans="1:49" x14ac:dyDescent="0.25">
      <c r="A8" s="1" t="s">
        <v>6</v>
      </c>
      <c r="B8">
        <v>13.93577</v>
      </c>
      <c r="C8">
        <v>13.670249999999999</v>
      </c>
      <c r="D8">
        <v>13.293670000000001</v>
      </c>
      <c r="E8">
        <v>12.93845</v>
      </c>
      <c r="F8">
        <v>12.504049999999999</v>
      </c>
      <c r="G8">
        <v>11.98241</v>
      </c>
      <c r="H8">
        <v>9.4889229999999998</v>
      </c>
      <c r="I8">
        <v>8.9167439999999996</v>
      </c>
      <c r="J8">
        <v>8.3515350000000002</v>
      </c>
      <c r="K8">
        <v>7.7975709999999996</v>
      </c>
      <c r="L8">
        <v>7.2434390000000004</v>
      </c>
      <c r="M8">
        <v>6.1788759999999998</v>
      </c>
      <c r="N8">
        <v>5.694439</v>
      </c>
      <c r="O8">
        <v>5.2441469999999999</v>
      </c>
      <c r="P8">
        <v>4.8207659999999999</v>
      </c>
      <c r="Q8">
        <v>4.4000779999999997</v>
      </c>
      <c r="R8">
        <v>4.029433</v>
      </c>
      <c r="S8">
        <v>3.7795779999999999</v>
      </c>
      <c r="T8">
        <v>3.5414099999999999</v>
      </c>
      <c r="U8">
        <v>3.3178679999999998</v>
      </c>
      <c r="V8">
        <v>3.1276480000000002</v>
      </c>
      <c r="W8">
        <v>2.955495</v>
      </c>
      <c r="X8">
        <v>2.8531309999999999</v>
      </c>
      <c r="Y8">
        <v>2.7597480000000001</v>
      </c>
      <c r="Z8">
        <v>2.673222</v>
      </c>
      <c r="AA8">
        <v>2.5934949999999999</v>
      </c>
      <c r="AB8">
        <v>2.3929360000000002</v>
      </c>
      <c r="AC8">
        <v>2.3293539999999999</v>
      </c>
      <c r="AD8">
        <v>2.2710819999999998</v>
      </c>
      <c r="AE8">
        <v>2.2173189999999998</v>
      </c>
      <c r="AF8">
        <v>2.167173</v>
      </c>
      <c r="AG8">
        <v>2.1197780000000002</v>
      </c>
      <c r="AJ8" s="3" t="str">
        <f ca="1">INDIRECT(ADDRESS(8,1))</f>
        <v>Hybrid</v>
      </c>
      <c r="AK8" s="3">
        <f ca="1">INDIRECT(ADDRESS(8,2))</f>
        <v>13.93577</v>
      </c>
      <c r="AL8" s="3">
        <f ca="1">INDIRECT(ADDRESS(8,8))</f>
        <v>9.4889229999999998</v>
      </c>
      <c r="AM8" s="4">
        <f ca="1">IFERROR((INDIRECT(ADDRESS(8,8)) - INDIRECT(ADDRESS(8,2)))/ INDIRECT(ADDRESS(8,2)),1)</f>
        <v>-0.31909589495234209</v>
      </c>
      <c r="AN8" s="3">
        <f ca="1">INDIRECT(ADDRESS(8,13))</f>
        <v>6.1788759999999998</v>
      </c>
      <c r="AO8" s="4">
        <f ca="1">IFERROR((INDIRECT(ADDRESS(8,13)) - INDIRECT(ADDRESS(8,2)))/ INDIRECT(ADDRESS(8,2)),1)</f>
        <v>-0.55661753889451393</v>
      </c>
      <c r="AP8" s="3">
        <f ca="1">INDIRECT(ADDRESS(8,18))</f>
        <v>4.029433</v>
      </c>
      <c r="AQ8" s="4">
        <f ca="1">IFERROR((INDIRECT(ADDRESS(8,18)) - INDIRECT(ADDRESS(8,2)))/ INDIRECT(ADDRESS(8,2)),1)</f>
        <v>-0.71085680949097185</v>
      </c>
      <c r="AR8" s="3">
        <f ca="1">INDIRECT(ADDRESS(8,23))</f>
        <v>2.955495</v>
      </c>
      <c r="AS8" s="4">
        <f ca="1">IFERROR((INDIRECT(ADDRESS(8,23)) - INDIRECT(ADDRESS(8,2)))/ INDIRECT(ADDRESS(8,2)),1)</f>
        <v>-0.78792022256394867</v>
      </c>
      <c r="AT8" s="3">
        <f ca="1">INDIRECT(ADDRESS(8,28))</f>
        <v>2.3929360000000002</v>
      </c>
      <c r="AU8" s="4">
        <f ca="1">IFERROR((INDIRECT(ADDRESS(8,28)) - INDIRECT(ADDRESS(8,2)))/ INDIRECT(ADDRESS(8,2)),1)</f>
        <v>-0.82828821084159676</v>
      </c>
      <c r="AV8" s="3">
        <f ca="1">INDIRECT(ADDRESS(8,33))</f>
        <v>2.1197780000000002</v>
      </c>
      <c r="AW8" s="4">
        <f ca="1">IFERROR((INDIRECT(ADDRESS(8,33)) - INDIRECT(ADDRESS(8,2)))/ INDIRECT(ADDRESS(8,2)),1)</f>
        <v>-0.84788942412224078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259"/>
  <sheetViews>
    <sheetView workbookViewId="0"/>
  </sheetViews>
  <sheetFormatPr defaultRowHeight="15" x14ac:dyDescent="0.25"/>
  <cols>
    <col min="36" max="55" width="20.7109375" customWidth="1"/>
  </cols>
  <sheetData>
    <row r="1" spans="1:57" x14ac:dyDescent="0.25">
      <c r="A1" t="s">
        <v>11</v>
      </c>
      <c r="B1" t="s">
        <v>69</v>
      </c>
    </row>
    <row r="3" spans="1:57" x14ac:dyDescent="0.25">
      <c r="A3" s="1" t="s">
        <v>0</v>
      </c>
      <c r="B3" s="1">
        <v>2019</v>
      </c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  <c r="I3" s="1">
        <v>2026</v>
      </c>
      <c r="J3" s="1">
        <v>2027</v>
      </c>
      <c r="K3" s="1">
        <v>2028</v>
      </c>
      <c r="L3" s="1">
        <v>2029</v>
      </c>
      <c r="M3" s="1">
        <v>2030</v>
      </c>
      <c r="N3" s="1">
        <v>2031</v>
      </c>
      <c r="O3" s="1">
        <v>2032</v>
      </c>
      <c r="P3" s="1">
        <v>2033</v>
      </c>
      <c r="Q3" s="1">
        <v>2034</v>
      </c>
      <c r="R3" s="1">
        <v>2035</v>
      </c>
      <c r="S3" s="1">
        <v>2036</v>
      </c>
      <c r="T3" s="1">
        <v>2037</v>
      </c>
      <c r="U3" s="1">
        <v>2038</v>
      </c>
      <c r="V3" s="1">
        <v>2039</v>
      </c>
      <c r="W3" s="1">
        <v>2040</v>
      </c>
      <c r="X3" s="1">
        <v>2041</v>
      </c>
      <c r="Y3" s="1">
        <v>2042</v>
      </c>
      <c r="Z3" s="1">
        <v>2043</v>
      </c>
      <c r="AA3" s="1">
        <v>2044</v>
      </c>
      <c r="AB3" s="1">
        <v>2045</v>
      </c>
      <c r="AC3" s="1">
        <v>2046</v>
      </c>
      <c r="AD3" s="1">
        <v>2047</v>
      </c>
      <c r="AE3" s="1">
        <v>2048</v>
      </c>
      <c r="AF3" s="1">
        <v>2049</v>
      </c>
      <c r="AG3" s="1">
        <v>2050</v>
      </c>
      <c r="AK3" s="2">
        <f ca="1">INDIRECT(ADDRESS(3,2))</f>
        <v>2019</v>
      </c>
      <c r="AL3" s="2">
        <f ca="1">INDIRECT(ADDRESS(3,8))</f>
        <v>2025</v>
      </c>
      <c r="AM3" s="2" t="str">
        <f ca="1">CONCATENATE("% change ",INDIRECT(ADDRESS(3,2)),"-",INDIRECT(ADDRESS(3,8)))</f>
        <v>% change 2019-2025</v>
      </c>
      <c r="AN3" s="2">
        <f ca="1">INDIRECT(ADDRESS(3,13))</f>
        <v>2030</v>
      </c>
      <c r="AO3" s="2" t="str">
        <f ca="1">CONCATENATE("% change ",INDIRECT(ADDRESS(3,2)),"-",INDIRECT(ADDRESS(3,13)))</f>
        <v>% change 2019-2030</v>
      </c>
      <c r="AP3" s="2">
        <f ca="1">INDIRECT(ADDRESS(3,18))</f>
        <v>2035</v>
      </c>
      <c r="AQ3" s="2" t="str">
        <f ca="1">CONCATENATE("% change ",INDIRECT(ADDRESS(3,2)),"-",INDIRECT(ADDRESS(3,18)))</f>
        <v>% change 2019-2035</v>
      </c>
      <c r="AR3" s="2">
        <f ca="1">INDIRECT(ADDRESS(3,23))</f>
        <v>2040</v>
      </c>
      <c r="AS3" s="2" t="str">
        <f ca="1">CONCATENATE("% change ",INDIRECT(ADDRESS(3,2)),"-",INDIRECT(ADDRESS(3,23)))</f>
        <v>% change 2019-2040</v>
      </c>
      <c r="AT3" s="2">
        <f ca="1">INDIRECT(ADDRESS(3,28))</f>
        <v>2045</v>
      </c>
      <c r="AU3" s="2" t="str">
        <f ca="1">CONCATENATE("% change ",INDIRECT(ADDRESS(3,2)),"-",INDIRECT(ADDRESS(3,28)))</f>
        <v>% change 2019-2045</v>
      </c>
      <c r="AV3" s="2">
        <f ca="1">INDIRECT(ADDRESS(3,33))</f>
        <v>2050</v>
      </c>
      <c r="AW3" s="2" t="str">
        <f ca="1">CONCATENATE("% change ",INDIRECT(ADDRESS(3,2)),"-",INDIRECT(ADDRESS(3,33)))</f>
        <v>% change 2019-2050</v>
      </c>
    </row>
    <row r="4" spans="1:57" x14ac:dyDescent="0.25">
      <c r="A4" s="1" t="s">
        <v>2</v>
      </c>
      <c r="B4">
        <v>2190945022.3937998</v>
      </c>
      <c r="C4">
        <v>2181013091.4938002</v>
      </c>
      <c r="D4">
        <v>2168649074.6283998</v>
      </c>
      <c r="E4">
        <v>2159616601.4717999</v>
      </c>
      <c r="F4">
        <v>2149259973.68575</v>
      </c>
      <c r="G4">
        <v>2129351313.5854001</v>
      </c>
      <c r="H4">
        <v>2049239866.3697</v>
      </c>
      <c r="I4">
        <v>2017342224.2779</v>
      </c>
      <c r="J4">
        <v>1983278938.6368001</v>
      </c>
      <c r="K4">
        <v>1947974959.7467999</v>
      </c>
      <c r="L4">
        <v>1910528538.2958</v>
      </c>
      <c r="M4">
        <v>1795098522.3808</v>
      </c>
      <c r="N4">
        <v>1765010340.2874999</v>
      </c>
      <c r="O4">
        <v>1736590467.7692001</v>
      </c>
      <c r="P4">
        <v>1708692602.7760999</v>
      </c>
      <c r="Q4">
        <v>1677397580.70978</v>
      </c>
      <c r="R4">
        <v>1651390304.5740199</v>
      </c>
      <c r="S4">
        <v>1623283629.40571</v>
      </c>
      <c r="T4">
        <v>1594626269.2135899</v>
      </c>
      <c r="U4">
        <v>1565793868.5339701</v>
      </c>
      <c r="V4">
        <v>1536855111.3914001</v>
      </c>
      <c r="W4">
        <v>1509862670.0011699</v>
      </c>
      <c r="X4">
        <v>1498233663.5445499</v>
      </c>
      <c r="Y4">
        <v>1488540708.2843699</v>
      </c>
      <c r="Z4">
        <v>1479867890.2606599</v>
      </c>
      <c r="AA4">
        <v>1471947696.4049699</v>
      </c>
      <c r="AB4">
        <v>1445640198.2344601</v>
      </c>
      <c r="AC4">
        <v>1439799924.4507401</v>
      </c>
      <c r="AD4">
        <v>1434590585.3357201</v>
      </c>
      <c r="AE4">
        <v>1429918983.755455</v>
      </c>
      <c r="AF4">
        <v>1425149179.985594</v>
      </c>
      <c r="AG4">
        <v>1422007217.074939</v>
      </c>
      <c r="AJ4" s="3" t="str">
        <f ca="1">INDIRECT(ADDRESS(4,1))</f>
        <v>AltFuels</v>
      </c>
      <c r="AK4" s="3">
        <f ca="1">INDIRECT(ADDRESS(4,2))</f>
        <v>2190945022.3937998</v>
      </c>
      <c r="AL4" s="3">
        <f ca="1">INDIRECT(ADDRESS(4,8))</f>
        <v>2049239866.3697</v>
      </c>
      <c r="AM4" s="4">
        <f ca="1">IFERROR((INDIRECT(ADDRESS(4,8)) - INDIRECT(ADDRESS(4,2)))/ INDIRECT(ADDRESS(4,2)),1)</f>
        <v>-6.4677641189405333E-2</v>
      </c>
      <c r="AN4" s="3">
        <f ca="1">INDIRECT(ADDRESS(4,13))</f>
        <v>1795098522.3808</v>
      </c>
      <c r="AO4" s="4">
        <f ca="1">IFERROR((INDIRECT(ADDRESS(4,13)) - INDIRECT(ADDRESS(4,2)))/ INDIRECT(ADDRESS(4,2)),1)</f>
        <v>-0.18067386263325891</v>
      </c>
      <c r="AP4" s="3">
        <f ca="1">INDIRECT(ADDRESS(4,18))</f>
        <v>1651390304.5740199</v>
      </c>
      <c r="AQ4" s="4">
        <f ca="1">IFERROR((INDIRECT(ADDRESS(4,18)) - INDIRECT(ADDRESS(4,2)))/ INDIRECT(ADDRESS(4,2)),1)</f>
        <v>-0.24626574939350554</v>
      </c>
      <c r="AR4" s="3">
        <f ca="1">INDIRECT(ADDRESS(4,23))</f>
        <v>1509862670.0011699</v>
      </c>
      <c r="AS4" s="4">
        <f ca="1">IFERROR((INDIRECT(ADDRESS(4,23)) - INDIRECT(ADDRESS(4,2)))/ INDIRECT(ADDRESS(4,2)),1)</f>
        <v>-0.3108623655232059</v>
      </c>
      <c r="AT4" s="3">
        <f ca="1">INDIRECT(ADDRESS(4,28))</f>
        <v>1445640198.2344601</v>
      </c>
      <c r="AU4" s="4">
        <f ca="1">IFERROR((INDIRECT(ADDRESS(4,28)) - INDIRECT(ADDRESS(4,2)))/ INDIRECT(ADDRESS(4,2)),1)</f>
        <v>-0.34017504617483679</v>
      </c>
      <c r="AV4" s="3">
        <f ca="1">INDIRECT(ADDRESS(4,33))</f>
        <v>1422007217.074939</v>
      </c>
      <c r="AW4" s="4">
        <f ca="1">IFERROR((INDIRECT(ADDRESS(4,33)) - INDIRECT(ADDRESS(4,2)))/ INDIRECT(ADDRESS(4,2)),1)</f>
        <v>-0.35096170714440322</v>
      </c>
    </row>
    <row r="5" spans="1:57" x14ac:dyDescent="0.25">
      <c r="A5" s="1" t="s">
        <v>3</v>
      </c>
      <c r="B5">
        <v>2190945022.3937998</v>
      </c>
      <c r="C5">
        <v>2180636661.7838001</v>
      </c>
      <c r="D5">
        <v>2179056878.5458002</v>
      </c>
      <c r="E5">
        <v>2174794566.3778</v>
      </c>
      <c r="F5">
        <v>2171697413.8518</v>
      </c>
      <c r="G5">
        <v>2159103427.4298</v>
      </c>
      <c r="H5">
        <v>2091548322.6268001</v>
      </c>
      <c r="I5">
        <v>2072983646.3608</v>
      </c>
      <c r="J5">
        <v>2052231607.6027999</v>
      </c>
      <c r="K5">
        <v>2030295404.5838001</v>
      </c>
      <c r="L5">
        <v>2007466139.0548</v>
      </c>
      <c r="M5">
        <v>1907717360.8468001</v>
      </c>
      <c r="N5">
        <v>1891738719.8676</v>
      </c>
      <c r="O5">
        <v>1878303284.95</v>
      </c>
      <c r="P5">
        <v>1866019052.2890999</v>
      </c>
      <c r="Q5">
        <v>1849700495.7165101</v>
      </c>
      <c r="R5">
        <v>1840061014.8143899</v>
      </c>
      <c r="S5">
        <v>1827958293.2783599</v>
      </c>
      <c r="T5">
        <v>1815183805.003</v>
      </c>
      <c r="U5">
        <v>1802302415.96556</v>
      </c>
      <c r="V5">
        <v>1788660528.3218801</v>
      </c>
      <c r="W5">
        <v>1778402838.865</v>
      </c>
      <c r="X5">
        <v>1766766500.7379301</v>
      </c>
      <c r="Y5">
        <v>1755747733.7311001</v>
      </c>
      <c r="Z5">
        <v>1745574276.56617</v>
      </c>
      <c r="AA5">
        <v>1734996016.85709</v>
      </c>
      <c r="AB5">
        <v>1707436151.4579999</v>
      </c>
      <c r="AC5">
        <v>1699799398.1256199</v>
      </c>
      <c r="AD5">
        <v>1692959379.31372</v>
      </c>
      <c r="AE5">
        <v>1686811462.27631</v>
      </c>
      <c r="AF5">
        <v>1679856497.23756</v>
      </c>
      <c r="AG5">
        <v>1675995772.8789799</v>
      </c>
      <c r="AJ5" s="3" t="str">
        <f ca="1">INDIRECT(ADDRESS(5,1))</f>
        <v>BAP</v>
      </c>
      <c r="AK5" s="3">
        <f ca="1">INDIRECT(ADDRESS(5,2))</f>
        <v>2190945022.3937998</v>
      </c>
      <c r="AL5" s="3">
        <f ca="1">INDIRECT(ADDRESS(5,8))</f>
        <v>2091548322.6268001</v>
      </c>
      <c r="AM5" s="4">
        <f ca="1">IFERROR((INDIRECT(ADDRESS(5,8)) - INDIRECT(ADDRESS(5,2)))/ INDIRECT(ADDRESS(5,2)),1)</f>
        <v>-4.5367044243949169E-2</v>
      </c>
      <c r="AN5" s="3">
        <f ca="1">INDIRECT(ADDRESS(5,13))</f>
        <v>1907717360.8468001</v>
      </c>
      <c r="AO5" s="4">
        <f ca="1">IFERROR((INDIRECT(ADDRESS(5,13)) - INDIRECT(ADDRESS(5,2)))/ INDIRECT(ADDRESS(5,2)),1)</f>
        <v>-0.12927191629735585</v>
      </c>
      <c r="AP5" s="3">
        <f ca="1">INDIRECT(ADDRESS(5,18))</f>
        <v>1840061014.8143899</v>
      </c>
      <c r="AQ5" s="4">
        <f ca="1">IFERROR((INDIRECT(ADDRESS(5,18)) - INDIRECT(ADDRESS(5,2)))/ INDIRECT(ADDRESS(5,2)),1)</f>
        <v>-0.16015189974782582</v>
      </c>
      <c r="AR5" s="3">
        <f ca="1">INDIRECT(ADDRESS(5,23))</f>
        <v>1778402838.865</v>
      </c>
      <c r="AS5" s="4">
        <f ca="1">IFERROR((INDIRECT(ADDRESS(5,23)) - INDIRECT(ADDRESS(5,2)))/ INDIRECT(ADDRESS(5,2)),1)</f>
        <v>-0.18829417411764227</v>
      </c>
      <c r="AT5" s="3">
        <f ca="1">INDIRECT(ADDRESS(5,28))</f>
        <v>1707436151.4579999</v>
      </c>
      <c r="AU5" s="4">
        <f ca="1">IFERROR((INDIRECT(ADDRESS(5,28)) - INDIRECT(ADDRESS(5,2)))/ INDIRECT(ADDRESS(5,2)),1)</f>
        <v>-0.22068507698450779</v>
      </c>
      <c r="AV5" s="3">
        <f ca="1">INDIRECT(ADDRESS(5,33))</f>
        <v>1675995772.8789799</v>
      </c>
      <c r="AW5" s="4">
        <f ca="1">IFERROR((INDIRECT(ADDRESS(5,33)) - INDIRECT(ADDRESS(5,2)))/ INDIRECT(ADDRESS(5,2)),1)</f>
        <v>-0.23503522190264392</v>
      </c>
    </row>
    <row r="6" spans="1:57" x14ac:dyDescent="0.25">
      <c r="A6" s="1" t="s">
        <v>4</v>
      </c>
      <c r="B6">
        <v>2190945022.3937998</v>
      </c>
      <c r="C6">
        <v>2184793908.0558</v>
      </c>
      <c r="D6">
        <v>2187332339.8127999</v>
      </c>
      <c r="E6">
        <v>2187095676.4327998</v>
      </c>
      <c r="F6">
        <v>2188002300.9798002</v>
      </c>
      <c r="G6">
        <v>2185302695.2198</v>
      </c>
      <c r="H6">
        <v>2170114730.4748001</v>
      </c>
      <c r="I6">
        <v>2161222729.5377998</v>
      </c>
      <c r="J6">
        <v>2151356195.2828002</v>
      </c>
      <c r="K6">
        <v>2141587801.3717999</v>
      </c>
      <c r="L6">
        <v>2133218983.2897999</v>
      </c>
      <c r="M6">
        <v>2128828488.1738</v>
      </c>
      <c r="N6">
        <v>2126758351.0708001</v>
      </c>
      <c r="O6">
        <v>2127008161.6458001</v>
      </c>
      <c r="P6">
        <v>2128384836.3227999</v>
      </c>
      <c r="Q6">
        <v>2127923690.8787999</v>
      </c>
      <c r="R6">
        <v>2129956383.1517999</v>
      </c>
      <c r="S6">
        <v>2131183880.8817999</v>
      </c>
      <c r="T6">
        <v>2132373751.0067999</v>
      </c>
      <c r="U6">
        <v>2133750299.0178001</v>
      </c>
      <c r="V6">
        <v>2135592536.6777999</v>
      </c>
      <c r="W6">
        <v>2137844825.2897999</v>
      </c>
      <c r="X6">
        <v>2139579142.2168</v>
      </c>
      <c r="Y6">
        <v>2141172547.0518</v>
      </c>
      <c r="Z6">
        <v>2142687783.0567999</v>
      </c>
      <c r="AA6">
        <v>2144266882.8138001</v>
      </c>
      <c r="AB6">
        <v>2146025342.7908001</v>
      </c>
      <c r="AC6">
        <v>2147826272.5348001</v>
      </c>
      <c r="AD6">
        <v>2149965583.0618</v>
      </c>
      <c r="AE6">
        <v>2152457379.4868002</v>
      </c>
      <c r="AF6">
        <v>2155257819.9098001</v>
      </c>
      <c r="AG6">
        <v>2158204684.1877999</v>
      </c>
      <c r="AJ6" s="3" t="str">
        <f ca="1">INDIRECT(ADDRESS(6,1))</f>
        <v>BAU</v>
      </c>
      <c r="AK6" s="3">
        <f ca="1">INDIRECT(ADDRESS(6,2))</f>
        <v>2190945022.3937998</v>
      </c>
      <c r="AL6" s="3">
        <f ca="1">INDIRECT(ADDRESS(6,8))</f>
        <v>2170114730.4748001</v>
      </c>
      <c r="AM6" s="4">
        <f ca="1">IFERROR((INDIRECT(ADDRESS(6,8)) - INDIRECT(ADDRESS(6,2)))/ INDIRECT(ADDRESS(6,2)),1)</f>
        <v>-9.5074461960897357E-3</v>
      </c>
      <c r="AN6" s="3">
        <f ca="1">INDIRECT(ADDRESS(6,13))</f>
        <v>2128828488.1738</v>
      </c>
      <c r="AO6" s="4">
        <f ca="1">IFERROR((INDIRECT(ADDRESS(6,13)) - INDIRECT(ADDRESS(6,2)))/ INDIRECT(ADDRESS(6,2)),1)</f>
        <v>-2.8351480107945394E-2</v>
      </c>
      <c r="AP6" s="3">
        <f ca="1">INDIRECT(ADDRESS(6,18))</f>
        <v>2129956383.1517999</v>
      </c>
      <c r="AQ6" s="4">
        <f ca="1">IFERROR((INDIRECT(ADDRESS(6,18)) - INDIRECT(ADDRESS(6,2)))/ INDIRECT(ADDRESS(6,2)),1)</f>
        <v>-2.7836681714342802E-2</v>
      </c>
      <c r="AR6" s="3">
        <f ca="1">INDIRECT(ADDRESS(6,23))</f>
        <v>2137844825.2897999</v>
      </c>
      <c r="AS6" s="4">
        <f ca="1">IFERROR((INDIRECT(ADDRESS(6,23)) - INDIRECT(ADDRESS(6,2)))/ INDIRECT(ADDRESS(6,2)),1)</f>
        <v>-2.4236207007140336E-2</v>
      </c>
      <c r="AT6" s="3">
        <f ca="1">INDIRECT(ADDRESS(6,28))</f>
        <v>2146025342.7908001</v>
      </c>
      <c r="AU6" s="4">
        <f ca="1">IFERROR((INDIRECT(ADDRESS(6,28)) - INDIRECT(ADDRESS(6,2)))/ INDIRECT(ADDRESS(6,2)),1)</f>
        <v>-2.0502422079911889E-2</v>
      </c>
      <c r="AV6" s="3">
        <f ca="1">INDIRECT(ADDRESS(6,33))</f>
        <v>2158204684.1877999</v>
      </c>
      <c r="AW6" s="4">
        <f ca="1">IFERROR((INDIRECT(ADDRESS(6,33)) - INDIRECT(ADDRESS(6,2)))/ INDIRECT(ADDRESS(6,2)),1)</f>
        <v>-1.4943477755652744E-2</v>
      </c>
    </row>
    <row r="7" spans="1:57" x14ac:dyDescent="0.25">
      <c r="A7" s="1" t="s">
        <v>5</v>
      </c>
      <c r="B7">
        <v>2190945022.3937998</v>
      </c>
      <c r="C7">
        <v>2180869697.6838002</v>
      </c>
      <c r="D7">
        <v>2166352953.4560518</v>
      </c>
      <c r="E7">
        <v>2149582399.5924578</v>
      </c>
      <c r="F7">
        <v>2131241617.4538</v>
      </c>
      <c r="G7">
        <v>2101735218.0488</v>
      </c>
      <c r="H7">
        <v>2012803855.6138</v>
      </c>
      <c r="I7">
        <v>1972663403.7778001</v>
      </c>
      <c r="J7">
        <v>1930955990.6157999</v>
      </c>
      <c r="K7">
        <v>1888550512.3308001</v>
      </c>
      <c r="L7">
        <v>1844138362.8268001</v>
      </c>
      <c r="M7">
        <v>1722121873.5998001</v>
      </c>
      <c r="N7">
        <v>1683421232.1933</v>
      </c>
      <c r="O7">
        <v>1646696766.059</v>
      </c>
      <c r="P7">
        <v>1610676064.1689999</v>
      </c>
      <c r="Q7">
        <v>1571405028.4684501</v>
      </c>
      <c r="R7">
        <v>1537509023.35043</v>
      </c>
      <c r="S7">
        <v>1508474249.4924099</v>
      </c>
      <c r="T7">
        <v>1478614867.5457301</v>
      </c>
      <c r="U7">
        <v>1448363557.42417</v>
      </c>
      <c r="V7">
        <v>1417936996.97785</v>
      </c>
      <c r="W7">
        <v>1389232949.6729701</v>
      </c>
      <c r="X7">
        <v>1376439629.2681</v>
      </c>
      <c r="Y7">
        <v>1365679369.1356699</v>
      </c>
      <c r="Z7">
        <v>1355913707.99668</v>
      </c>
      <c r="AA7">
        <v>1346826755.6343</v>
      </c>
      <c r="AB7">
        <v>1319119176.2424099</v>
      </c>
      <c r="AC7">
        <v>1311931742.1835699</v>
      </c>
      <c r="AD7">
        <v>1305361801.4474399</v>
      </c>
      <c r="AE7">
        <v>1299320560.3759601</v>
      </c>
      <c r="AF7">
        <v>1293246343.7084999</v>
      </c>
      <c r="AG7">
        <v>1288685790.7946301</v>
      </c>
      <c r="AJ7" s="3" t="str">
        <f ca="1">INDIRECT(ADDRESS(7,1))</f>
        <v>Elec</v>
      </c>
      <c r="AK7" s="3">
        <f ca="1">INDIRECT(ADDRESS(7,2))</f>
        <v>2190945022.3937998</v>
      </c>
      <c r="AL7" s="3">
        <f ca="1">INDIRECT(ADDRESS(7,8))</f>
        <v>2012803855.6138</v>
      </c>
      <c r="AM7" s="4">
        <f ca="1">IFERROR((INDIRECT(ADDRESS(7,8)) - INDIRECT(ADDRESS(7,2)))/ INDIRECT(ADDRESS(7,2)),1)</f>
        <v>-8.1307912777001071E-2</v>
      </c>
      <c r="AN7" s="3">
        <f ca="1">INDIRECT(ADDRESS(7,13))</f>
        <v>1722121873.5998001</v>
      </c>
      <c r="AO7" s="4">
        <f ca="1">IFERROR((INDIRECT(ADDRESS(7,13)) - INDIRECT(ADDRESS(7,2)))/ INDIRECT(ADDRESS(7,2)),1)</f>
        <v>-0.21398216021037772</v>
      </c>
      <c r="AP7" s="3">
        <f ca="1">INDIRECT(ADDRESS(7,18))</f>
        <v>1537509023.35043</v>
      </c>
      <c r="AQ7" s="4">
        <f ca="1">IFERROR((INDIRECT(ADDRESS(7,18)) - INDIRECT(ADDRESS(7,2)))/ INDIRECT(ADDRESS(7,2)),1)</f>
        <v>-0.2982439049654626</v>
      </c>
      <c r="AR7" s="3">
        <f ca="1">INDIRECT(ADDRESS(7,23))</f>
        <v>1389232949.6729701</v>
      </c>
      <c r="AS7" s="4">
        <f ca="1">IFERROR((INDIRECT(ADDRESS(7,23)) - INDIRECT(ADDRESS(7,2)))/ INDIRECT(ADDRESS(7,2)),1)</f>
        <v>-0.36592067100108649</v>
      </c>
      <c r="AT7" s="3">
        <f ca="1">INDIRECT(ADDRESS(7,28))</f>
        <v>1319119176.2424099</v>
      </c>
      <c r="AU7" s="4">
        <f ca="1">IFERROR((INDIRECT(ADDRESS(7,28)) - INDIRECT(ADDRESS(7,2)))/ INDIRECT(ADDRESS(7,2)),1)</f>
        <v>-0.39792228341669822</v>
      </c>
      <c r="AV7" s="3">
        <f ca="1">INDIRECT(ADDRESS(7,33))</f>
        <v>1288685790.7946301</v>
      </c>
      <c r="AW7" s="4">
        <f ca="1">IFERROR((INDIRECT(ADDRESS(7,33)) - INDIRECT(ADDRESS(7,2)))/ INDIRECT(ADDRESS(7,2)),1)</f>
        <v>-0.4118128124517576</v>
      </c>
    </row>
    <row r="8" spans="1:57" x14ac:dyDescent="0.25">
      <c r="A8" s="1" t="s">
        <v>6</v>
      </c>
      <c r="B8">
        <v>2190945022.3937998</v>
      </c>
      <c r="C8">
        <v>2181013091.4938002</v>
      </c>
      <c r="D8">
        <v>2168649074.6283998</v>
      </c>
      <c r="E8">
        <v>2159616601.4717999</v>
      </c>
      <c r="F8">
        <v>2148245068.49615</v>
      </c>
      <c r="G8">
        <v>2127575738.8919001</v>
      </c>
      <c r="H8">
        <v>2046878759.1622</v>
      </c>
      <c r="I8">
        <v>2014504207.2439001</v>
      </c>
      <c r="J8">
        <v>1980060274.7228</v>
      </c>
      <c r="K8">
        <v>1944509010.6858001</v>
      </c>
      <c r="L8">
        <v>1906365944.5527999</v>
      </c>
      <c r="M8">
        <v>1790309782.9488001</v>
      </c>
      <c r="N8">
        <v>1759573942.6503</v>
      </c>
      <c r="O8">
        <v>1730433772.3900001</v>
      </c>
      <c r="P8">
        <v>1701671982.5610001</v>
      </c>
      <c r="Q8">
        <v>1669334474.4214499</v>
      </c>
      <c r="R8">
        <v>1642350933.3234301</v>
      </c>
      <c r="S8">
        <v>1614208303.0134101</v>
      </c>
      <c r="T8">
        <v>1585373387.97173</v>
      </c>
      <c r="U8">
        <v>1556266161.3201699</v>
      </c>
      <c r="V8">
        <v>1527057278.5388501</v>
      </c>
      <c r="W8">
        <v>1499722668.5070701</v>
      </c>
      <c r="X8">
        <v>1488467833.464505</v>
      </c>
      <c r="Y8">
        <v>1479269293.2331021</v>
      </c>
      <c r="Z8">
        <v>1471075469.214313</v>
      </c>
      <c r="AA8">
        <v>1463546693.80302</v>
      </c>
      <c r="AB8">
        <v>1437430470.395689</v>
      </c>
      <c r="AC8">
        <v>1431771092.156661</v>
      </c>
      <c r="AD8">
        <v>1426701542.957567</v>
      </c>
      <c r="AE8">
        <v>1422129508.153791</v>
      </c>
      <c r="AF8">
        <v>1417470998.425509</v>
      </c>
      <c r="AG8">
        <v>1414338653.7836781</v>
      </c>
      <c r="AJ8" s="3" t="str">
        <f ca="1">INDIRECT(ADDRESS(8,1))</f>
        <v>Hybrid</v>
      </c>
      <c r="AK8" s="3">
        <f ca="1">INDIRECT(ADDRESS(8,2))</f>
        <v>2190945022.3937998</v>
      </c>
      <c r="AL8" s="3">
        <f ca="1">INDIRECT(ADDRESS(8,8))</f>
        <v>2046878759.1622</v>
      </c>
      <c r="AM8" s="4">
        <f ca="1">IFERROR((INDIRECT(ADDRESS(8,8)) - INDIRECT(ADDRESS(8,2)))/ INDIRECT(ADDRESS(8,2)),1)</f>
        <v>-6.5755307303053526E-2</v>
      </c>
      <c r="AN8" s="3">
        <f ca="1">INDIRECT(ADDRESS(8,13))</f>
        <v>1790309782.9488001</v>
      </c>
      <c r="AO8" s="4">
        <f ca="1">IFERROR((INDIRECT(ADDRESS(8,13)) - INDIRECT(ADDRESS(8,2)))/ INDIRECT(ADDRESS(8,2)),1)</f>
        <v>-0.18285955847822713</v>
      </c>
      <c r="AP8" s="3">
        <f ca="1">INDIRECT(ADDRESS(8,18))</f>
        <v>1642350933.3234301</v>
      </c>
      <c r="AQ8" s="4">
        <f ca="1">IFERROR((INDIRECT(ADDRESS(8,18)) - INDIRECT(ADDRESS(8,2)))/ INDIRECT(ADDRESS(8,2)),1)</f>
        <v>-0.25039153582730367</v>
      </c>
      <c r="AR8" s="3">
        <f ca="1">INDIRECT(ADDRESS(8,23))</f>
        <v>1499722668.5070701</v>
      </c>
      <c r="AS8" s="4">
        <f ca="1">IFERROR((INDIRECT(ADDRESS(8,23)) - INDIRECT(ADDRESS(8,2)))/ INDIRECT(ADDRESS(8,2)),1)</f>
        <v>-0.31549050607007412</v>
      </c>
      <c r="AT8" s="3">
        <f ca="1">INDIRECT(ADDRESS(8,28))</f>
        <v>1437430470.395689</v>
      </c>
      <c r="AU8" s="4">
        <f ca="1">IFERROR((INDIRECT(ADDRESS(8,28)) - INDIRECT(ADDRESS(8,2)))/ INDIRECT(ADDRESS(8,2)),1)</f>
        <v>-0.34392216340272652</v>
      </c>
      <c r="AV8" s="3">
        <f ca="1">INDIRECT(ADDRESS(8,33))</f>
        <v>1414338653.7836781</v>
      </c>
      <c r="AW8" s="4">
        <f ca="1">IFERROR((INDIRECT(ADDRESS(8,33)) - INDIRECT(ADDRESS(8,2)))/ INDIRECT(ADDRESS(8,2)),1)</f>
        <v>-0.35446182385791275</v>
      </c>
    </row>
    <row r="11" spans="1:57" x14ac:dyDescent="0.25">
      <c r="A11" s="1" t="s">
        <v>0</v>
      </c>
      <c r="B11" s="1" t="s">
        <v>71</v>
      </c>
      <c r="C11" s="1">
        <v>2019</v>
      </c>
      <c r="D11" s="1">
        <v>2020</v>
      </c>
      <c r="E11" s="1">
        <v>2021</v>
      </c>
      <c r="F11" s="1">
        <v>2022</v>
      </c>
      <c r="G11" s="1">
        <v>2023</v>
      </c>
      <c r="H11" s="1">
        <v>2024</v>
      </c>
      <c r="I11" s="1">
        <v>2025</v>
      </c>
      <c r="J11" s="1">
        <v>2026</v>
      </c>
      <c r="K11" s="1">
        <v>2027</v>
      </c>
      <c r="L11" s="1">
        <v>2028</v>
      </c>
      <c r="M11" s="1">
        <v>2029</v>
      </c>
      <c r="N11" s="1">
        <v>2030</v>
      </c>
      <c r="O11" s="1">
        <v>2031</v>
      </c>
      <c r="P11" s="1">
        <v>2032</v>
      </c>
      <c r="Q11" s="1">
        <v>2033</v>
      </c>
      <c r="R11" s="1">
        <v>2034</v>
      </c>
      <c r="S11" s="1">
        <v>2035</v>
      </c>
      <c r="T11" s="1">
        <v>2036</v>
      </c>
      <c r="U11" s="1">
        <v>2037</v>
      </c>
      <c r="V11" s="1">
        <v>2038</v>
      </c>
      <c r="W11" s="1">
        <v>2039</v>
      </c>
      <c r="X11" s="1">
        <v>2040</v>
      </c>
      <c r="Y11" s="1">
        <v>2041</v>
      </c>
      <c r="Z11" s="1">
        <v>2042</v>
      </c>
      <c r="AA11" s="1">
        <v>2043</v>
      </c>
      <c r="AB11" s="1">
        <v>2044</v>
      </c>
      <c r="AC11" s="1">
        <v>2045</v>
      </c>
      <c r="AD11" s="1">
        <v>2046</v>
      </c>
      <c r="AE11" s="1">
        <v>2047</v>
      </c>
      <c r="AF11" s="1">
        <v>2048</v>
      </c>
      <c r="AG11" s="1">
        <v>2049</v>
      </c>
      <c r="AH11" s="1">
        <v>2050</v>
      </c>
      <c r="AL11" s="2">
        <f ca="1">INDIRECT(ADDRESS(11,3))</f>
        <v>2019</v>
      </c>
      <c r="AM11" s="2" t="str">
        <f ca="1">CONCATENATE(INDIRECT(ADDRESS(11,3))," Share")</f>
        <v>2019 Share</v>
      </c>
      <c r="AN11" s="2">
        <f ca="1">INDIRECT(ADDRESS(11,9))</f>
        <v>2025</v>
      </c>
      <c r="AO11" s="2" t="str">
        <f ca="1">CONCATENATE(INDIRECT(ADDRESS(11,9))," Share")</f>
        <v>2025 Share</v>
      </c>
      <c r="AP11" s="2" t="str">
        <f ca="1">CONCATENATE("% change ",INDIRECT(ADDRESS(11,3)),"-",INDIRECT(ADDRESS(11,9)))</f>
        <v>% change 2019-2025</v>
      </c>
      <c r="AQ11" s="2">
        <f ca="1">INDIRECT(ADDRESS(11,14))</f>
        <v>2030</v>
      </c>
      <c r="AR11" s="2" t="str">
        <f ca="1">CONCATENATE(INDIRECT(ADDRESS(11,14))," Share")</f>
        <v>2030 Share</v>
      </c>
      <c r="AS11" s="2" t="str">
        <f ca="1">CONCATENATE("% change ",INDIRECT(ADDRESS(11,3)),"-",INDIRECT(ADDRESS(11,14)))</f>
        <v>% change 2019-2030</v>
      </c>
      <c r="AT11" s="2">
        <f ca="1">INDIRECT(ADDRESS(11,19))</f>
        <v>2035</v>
      </c>
      <c r="AU11" s="2" t="str">
        <f ca="1">CONCATENATE(INDIRECT(ADDRESS(11,19))," Share")</f>
        <v>2035 Share</v>
      </c>
      <c r="AV11" s="2" t="str">
        <f ca="1">CONCATENATE("% change ",INDIRECT(ADDRESS(11,3)),"-",INDIRECT(ADDRESS(11,19)))</f>
        <v>% change 2019-2035</v>
      </c>
      <c r="AW11" s="2">
        <f ca="1">INDIRECT(ADDRESS(11,24))</f>
        <v>2040</v>
      </c>
      <c r="AX11" s="2" t="str">
        <f ca="1">CONCATENATE(INDIRECT(ADDRESS(11,24))," Share")</f>
        <v>2040 Share</v>
      </c>
      <c r="AY11" s="2" t="str">
        <f ca="1">CONCATENATE("% change ",INDIRECT(ADDRESS(11,3)),"-",INDIRECT(ADDRESS(11,24)))</f>
        <v>% change 2019-2040</v>
      </c>
      <c r="AZ11" s="2">
        <f ca="1">INDIRECT(ADDRESS(11,29))</f>
        <v>2045</v>
      </c>
      <c r="BA11" s="2" t="str">
        <f ca="1">CONCATENATE(INDIRECT(ADDRESS(11,29))," Share")</f>
        <v>2045 Share</v>
      </c>
      <c r="BB11" s="2" t="str">
        <f ca="1">CONCATENATE("% change ",INDIRECT(ADDRESS(11,3)),"-",INDIRECT(ADDRESS(11,29)))</f>
        <v>% change 2019-2045</v>
      </c>
      <c r="BC11" s="2">
        <f ca="1">INDIRECT(ADDRESS(11,34))</f>
        <v>2050</v>
      </c>
      <c r="BD11" s="2" t="str">
        <f ca="1">CONCATENATE(INDIRECT(ADDRESS(11,34))," Share")</f>
        <v>2050 Share</v>
      </c>
      <c r="BE11" s="2" t="str">
        <f ca="1">CONCATENATE("% change ",INDIRECT(ADDRESS(11,3)),"-",INDIRECT(ADDRESS(11,34)))</f>
        <v>% change 2019-2050</v>
      </c>
    </row>
    <row r="12" spans="1:57" x14ac:dyDescent="0.25">
      <c r="A12" s="5" t="s">
        <v>5</v>
      </c>
      <c r="B12" s="1" t="s">
        <v>22</v>
      </c>
      <c r="C12">
        <v>8877019.4220000003</v>
      </c>
      <c r="D12">
        <v>8877019.4220000003</v>
      </c>
      <c r="E12">
        <v>8877019.3288320005</v>
      </c>
      <c r="F12">
        <v>8877019.2356279995</v>
      </c>
      <c r="G12">
        <v>8877019.3080000002</v>
      </c>
      <c r="H12">
        <v>8877019.472000001</v>
      </c>
      <c r="I12">
        <v>8877019.5520000011</v>
      </c>
      <c r="J12">
        <v>8877019.6420000009</v>
      </c>
      <c r="K12">
        <v>8877018.7120000012</v>
      </c>
      <c r="L12">
        <v>8877019.7919999994</v>
      </c>
      <c r="M12">
        <v>8877018.9220000003</v>
      </c>
      <c r="N12">
        <v>8877018.9220000003</v>
      </c>
      <c r="O12">
        <v>8877018.722000001</v>
      </c>
      <c r="P12">
        <v>8877019.5219999999</v>
      </c>
      <c r="Q12">
        <v>8877018.9220000003</v>
      </c>
      <c r="R12">
        <v>8877019.1219999995</v>
      </c>
      <c r="S12">
        <v>8877019.6219999995</v>
      </c>
      <c r="T12">
        <v>8877019.222000001</v>
      </c>
      <c r="U12">
        <v>8877018.9220000003</v>
      </c>
      <c r="V12">
        <v>8877019.0219999999</v>
      </c>
      <c r="W12">
        <v>8877019.8220000006</v>
      </c>
      <c r="X12">
        <v>8877019.4220000003</v>
      </c>
      <c r="Y12">
        <v>8877019.0219999999</v>
      </c>
      <c r="Z12">
        <v>8877018.722000001</v>
      </c>
      <c r="AA12">
        <v>8877018.8220000006</v>
      </c>
      <c r="AB12">
        <v>8877019.1220000014</v>
      </c>
      <c r="AC12">
        <v>8877019.4220000003</v>
      </c>
      <c r="AD12">
        <v>8877019.7219999991</v>
      </c>
      <c r="AE12">
        <v>8877019.9220000003</v>
      </c>
      <c r="AF12">
        <v>8877018.8220000006</v>
      </c>
      <c r="AG12">
        <v>8877019.2219999991</v>
      </c>
      <c r="AH12">
        <v>8877018.9220000003</v>
      </c>
      <c r="AK12" s="3" t="str">
        <f ca="1">INDIRECT(ADDRESS(12,2))</f>
        <v>Agriculture</v>
      </c>
      <c r="AL12" s="3">
        <f ca="1">INDIRECT(ADDRESS(12,3))</f>
        <v>8877019.4220000003</v>
      </c>
      <c r="AM12" s="4">
        <f ca="1">IFERROR(INDIRECT(ADDRESS(12,3)) / INDIRECT(ADDRESS(18,3)),0)</f>
        <v>4.0516851547014524E-3</v>
      </c>
      <c r="AN12" s="3">
        <f ca="1">INDIRECT(ADDRESS(12,9))</f>
        <v>8877019.5520000011</v>
      </c>
      <c r="AO12" s="4">
        <f ca="1">IFERROR(INDIRECT(ADDRESS(12,9)) / INDIRECT(ADDRESS(18,9)),0)</f>
        <v>4.4102755105727741E-3</v>
      </c>
      <c r="AP12" s="4">
        <f ca="1">IFERROR((INDIRECT(ADDRESS(12,9)) - INDIRECT(ADDRESS(12,3)))/ INDIRECT(ADDRESS(12,3)),1)</f>
        <v>1.4644555186776279E-8</v>
      </c>
      <c r="AQ12" s="3">
        <f ca="1">INDIRECT(ADDRESS(12,14))</f>
        <v>8877018.9220000003</v>
      </c>
      <c r="AR12" s="4">
        <f ca="1">IFERROR(INDIRECT(ADDRESS(12,14)) / INDIRECT(ADDRESS(18,14)),0)</f>
        <v>5.1546984322567808E-3</v>
      </c>
      <c r="AS12" s="4">
        <f ca="1">IFERROR((INDIRECT(ADDRESS(12,14)) - INDIRECT(ADDRESS(12,3)))/ INDIRECT(ADDRESS(12,3)),1)</f>
        <v>-5.6325211901738697E-8</v>
      </c>
      <c r="AT12" s="3">
        <f ca="1">INDIRECT(ADDRESS(12,19))</f>
        <v>8877019.6219999995</v>
      </c>
      <c r="AU12" s="4">
        <f ca="1">IFERROR(INDIRECT(ADDRESS(12,19)) / INDIRECT(ADDRESS(18,19)),0)</f>
        <v>5.7736374142740516E-3</v>
      </c>
      <c r="AV12" s="4">
        <f ca="1">IFERROR((INDIRECT(ADDRESS(12,19)) - INDIRECT(ADDRESS(12,3)))/ INDIRECT(ADDRESS(12,3)),1)</f>
        <v>2.2530084676764374E-8</v>
      </c>
      <c r="AW12" s="3">
        <f ca="1">INDIRECT(ADDRESS(12,24))</f>
        <v>8877019.4220000003</v>
      </c>
      <c r="AX12" s="4">
        <f ca="1">IFERROR(INDIRECT(ADDRESS(12,24)) / INDIRECT(ADDRESS(18,24)),0)</f>
        <v>6.3898710609258721E-3</v>
      </c>
      <c r="AY12" s="4">
        <f ca="1">IFERROR((INDIRECT(ADDRESS(12,24)) - INDIRECT(ADDRESS(12,3)))/ INDIRECT(ADDRESS(12,3)),1)</f>
        <v>0</v>
      </c>
      <c r="AZ12" s="3">
        <f ca="1">INDIRECT(ADDRESS(12,29))</f>
        <v>8877019.4220000003</v>
      </c>
      <c r="BA12" s="4">
        <f ca="1">IFERROR(INDIRECT(ADDRESS(12,29)) / INDIRECT(ADDRESS(18,29)),0)</f>
        <v>6.7295052500765873E-3</v>
      </c>
      <c r="BB12" s="4">
        <f ca="1">IFERROR((INDIRECT(ADDRESS(12,29)) - INDIRECT(ADDRESS(12,3)))/ INDIRECT(ADDRESS(12,3)),1)</f>
        <v>0</v>
      </c>
      <c r="BC12" s="3">
        <f ca="1">INDIRECT(ADDRESS(12,34))</f>
        <v>8877018.9220000003</v>
      </c>
      <c r="BD12" s="4">
        <f ca="1">IFERROR(INDIRECT(ADDRESS(12,34)) / INDIRECT(ADDRESS(18,34)),0)</f>
        <v>6.8884277186964625E-3</v>
      </c>
      <c r="BE12" s="4">
        <f ca="1">IFERROR((INDIRECT(ADDRESS(12,34)) - INDIRECT(ADDRESS(12,3)))/ INDIRECT(ADDRESS(12,3)),1)</f>
        <v>-5.6325211901738697E-8</v>
      </c>
    </row>
    <row r="13" spans="1:57" x14ac:dyDescent="0.25">
      <c r="A13" s="5"/>
      <c r="B13" s="1" t="s">
        <v>23</v>
      </c>
      <c r="C13">
        <v>205953267.586</v>
      </c>
      <c r="D13">
        <v>205808542.914</v>
      </c>
      <c r="E13">
        <v>207084232.139</v>
      </c>
      <c r="F13">
        <v>208352324.13600001</v>
      </c>
      <c r="G13">
        <v>209265440.542</v>
      </c>
      <c r="H13">
        <v>204992623.37</v>
      </c>
      <c r="I13">
        <v>203508472.949</v>
      </c>
      <c r="J13">
        <v>198920848.19</v>
      </c>
      <c r="K13">
        <v>194265903.34799999</v>
      </c>
      <c r="L13">
        <v>189567654.05599999</v>
      </c>
      <c r="M13">
        <v>182011450.85800001</v>
      </c>
      <c r="N13">
        <v>176954431.83500001</v>
      </c>
      <c r="O13">
        <v>169968081.2525</v>
      </c>
      <c r="P13">
        <v>162868039.98719999</v>
      </c>
      <c r="Q13">
        <v>155608246.8132</v>
      </c>
      <c r="R13">
        <v>147255376.96364999</v>
      </c>
      <c r="S13">
        <v>141848847.03762999</v>
      </c>
      <c r="T13">
        <v>135234728.87061</v>
      </c>
      <c r="U13">
        <v>128219062.48793</v>
      </c>
      <c r="V13">
        <v>120683349.61037</v>
      </c>
      <c r="W13">
        <v>111970257.13105001</v>
      </c>
      <c r="X13">
        <v>104030161.00317</v>
      </c>
      <c r="Y13">
        <v>102789926.8303</v>
      </c>
      <c r="Z13">
        <v>101671190.87086999</v>
      </c>
      <c r="AA13">
        <v>100803699.68988</v>
      </c>
      <c r="AB13">
        <v>99847705.488499999</v>
      </c>
      <c r="AC13">
        <v>100173755.56261</v>
      </c>
      <c r="AD13">
        <v>100009675.16576999</v>
      </c>
      <c r="AE13">
        <v>99847210.59364</v>
      </c>
      <c r="AF13">
        <v>99685377.026160002</v>
      </c>
      <c r="AG13">
        <v>98937190.1382</v>
      </c>
      <c r="AH13">
        <v>99367932.388229996</v>
      </c>
      <c r="AK13" s="3" t="str">
        <f ca="1">INDIRECT(ADDRESS(13,2))</f>
        <v>Commercial</v>
      </c>
      <c r="AL13" s="3">
        <f ca="1">INDIRECT(ADDRESS(13,3))</f>
        <v>205953267.586</v>
      </c>
      <c r="AM13" s="4">
        <f ca="1">IFERROR(INDIRECT(ADDRESS(13,3)) / INDIRECT(ADDRESS(18,3)),0)</f>
        <v>9.4002024460192971E-2</v>
      </c>
      <c r="AN13" s="3">
        <f ca="1">INDIRECT(ADDRESS(13,9))</f>
        <v>203508472.949</v>
      </c>
      <c r="AO13" s="4">
        <f ca="1">IFERROR(INDIRECT(ADDRESS(13,9)) / INDIRECT(ADDRESS(18,9)),0)</f>
        <v>0.10110695703478795</v>
      </c>
      <c r="AP13" s="4">
        <f ca="1">IFERROR((INDIRECT(ADDRESS(13,9)) - INDIRECT(ADDRESS(13,3)))/ INDIRECT(ADDRESS(13,3)),1)</f>
        <v>-1.1870628058761537E-2</v>
      </c>
      <c r="AQ13" s="3">
        <f ca="1">INDIRECT(ADDRESS(13,14))</f>
        <v>176954431.83500001</v>
      </c>
      <c r="AR13" s="4">
        <f ca="1">IFERROR(INDIRECT(ADDRESS(13,14)) / INDIRECT(ADDRESS(18,14)),0)</f>
        <v>0.10275372175902228</v>
      </c>
      <c r="AS13" s="4">
        <f ca="1">IFERROR((INDIRECT(ADDRESS(13,14)) - INDIRECT(ADDRESS(13,3)))/ INDIRECT(ADDRESS(13,3)),1)</f>
        <v>-0.14080298939122649</v>
      </c>
      <c r="AT13" s="3">
        <f ca="1">INDIRECT(ADDRESS(13,19))</f>
        <v>141848847.03762999</v>
      </c>
      <c r="AU13" s="4">
        <f ca="1">IFERROR(INDIRECT(ADDRESS(13,19)) / INDIRECT(ADDRESS(18,19)),0)</f>
        <v>9.22588712543118E-2</v>
      </c>
      <c r="AV13" s="4">
        <f ca="1">IFERROR((INDIRECT(ADDRESS(13,19)) - INDIRECT(ADDRESS(13,3)))/ INDIRECT(ADDRESS(13,3)),1)</f>
        <v>-0.31125711817901552</v>
      </c>
      <c r="AW13" s="3">
        <f ca="1">INDIRECT(ADDRESS(13,24))</f>
        <v>104030161.00317</v>
      </c>
      <c r="AX13" s="4">
        <f ca="1">IFERROR(INDIRECT(ADDRESS(13,24)) / INDIRECT(ADDRESS(18,24)),0)</f>
        <v>7.4883165582603717E-2</v>
      </c>
      <c r="AY13" s="4">
        <f ca="1">IFERROR((INDIRECT(ADDRESS(13,24)) - INDIRECT(ADDRESS(13,3)))/ INDIRECT(ADDRESS(13,3)),1)</f>
        <v>-0.49488462978753139</v>
      </c>
      <c r="AZ13" s="3">
        <f ca="1">INDIRECT(ADDRESS(13,29))</f>
        <v>100173755.56261</v>
      </c>
      <c r="BA13" s="4">
        <f ca="1">IFERROR(INDIRECT(ADDRESS(13,29)) / INDIRECT(ADDRESS(18,29)),0)</f>
        <v>7.5939882738996295E-2</v>
      </c>
      <c r="BB13" s="4">
        <f ca="1">IFERROR((INDIRECT(ADDRESS(13,29)) - INDIRECT(ADDRESS(13,3)))/ INDIRECT(ADDRESS(13,3)),1)</f>
        <v>-0.51360929235667308</v>
      </c>
      <c r="BC13" s="3">
        <f ca="1">INDIRECT(ADDRESS(13,34))</f>
        <v>99367932.388229996</v>
      </c>
      <c r="BD13" s="4">
        <f ca="1">IFERROR(INDIRECT(ADDRESS(13,34)) / INDIRECT(ADDRESS(18,34)),0)</f>
        <v>7.7107959983758106E-2</v>
      </c>
      <c r="BE13" s="4">
        <f ca="1">IFERROR((INDIRECT(ADDRESS(13,34)) - INDIRECT(ADDRESS(13,3)))/ INDIRECT(ADDRESS(13,3)),1)</f>
        <v>-0.51752194294884457</v>
      </c>
    </row>
    <row r="14" spans="1:57" x14ac:dyDescent="0.25">
      <c r="A14" s="5"/>
      <c r="B14" s="1" t="s">
        <v>24</v>
      </c>
      <c r="C14">
        <v>701026638.59179997</v>
      </c>
      <c r="D14">
        <v>699700685.80180001</v>
      </c>
      <c r="E14">
        <v>699700694.25621998</v>
      </c>
      <c r="F14">
        <v>699700682.61183</v>
      </c>
      <c r="G14">
        <v>698783894.04180002</v>
      </c>
      <c r="H14">
        <v>697846057.23080003</v>
      </c>
      <c r="I14">
        <v>650397847.1178</v>
      </c>
      <c r="J14">
        <v>648401034.13980007</v>
      </c>
      <c r="K14">
        <v>646435503.08679998</v>
      </c>
      <c r="L14">
        <v>644500065.10879993</v>
      </c>
      <c r="M14">
        <v>642593132.49479997</v>
      </c>
      <c r="N14">
        <v>559415543.40180004</v>
      </c>
      <c r="O14">
        <v>557570756.50779998</v>
      </c>
      <c r="P14">
        <v>555751051.67680001</v>
      </c>
      <c r="Q14">
        <v>553955169.96679997</v>
      </c>
      <c r="R14">
        <v>552182230.3398</v>
      </c>
      <c r="S14">
        <v>550430991.86979997</v>
      </c>
      <c r="T14">
        <v>549626886.3858</v>
      </c>
      <c r="U14">
        <v>548843300.63680005</v>
      </c>
      <c r="V14">
        <v>548079439.51480007</v>
      </c>
      <c r="W14">
        <v>547334909.21880007</v>
      </c>
      <c r="X14">
        <v>546608510.24979997</v>
      </c>
      <c r="Y14">
        <v>545900093.9188</v>
      </c>
      <c r="Z14">
        <v>545208473.8348</v>
      </c>
      <c r="AA14">
        <v>544533596.01380002</v>
      </c>
      <c r="AB14">
        <v>543874330.27779996</v>
      </c>
      <c r="AC14">
        <v>523465325.60280001</v>
      </c>
      <c r="AD14">
        <v>522836448.10979998</v>
      </c>
      <c r="AE14">
        <v>522221617.58179998</v>
      </c>
      <c r="AF14">
        <v>521620714.95380002</v>
      </c>
      <c r="AG14">
        <v>521033292.16180003</v>
      </c>
      <c r="AH14">
        <v>520458544.14579999</v>
      </c>
      <c r="AK14" s="3" t="str">
        <f ca="1">INDIRECT(ADDRESS(14,2))</f>
        <v>Energy Production</v>
      </c>
      <c r="AL14" s="3">
        <f ca="1">INDIRECT(ADDRESS(14,3))</f>
        <v>701026638.59179997</v>
      </c>
      <c r="AM14" s="4">
        <f ca="1">IFERROR(INDIRECT(ADDRESS(14,3)) / INDIRECT(ADDRESS(18,3)),0)</f>
        <v>0.31996541740050916</v>
      </c>
      <c r="AN14" s="3">
        <f ca="1">INDIRECT(ADDRESS(14,9))</f>
        <v>650397847.1178</v>
      </c>
      <c r="AO14" s="4">
        <f ca="1">IFERROR(INDIRECT(ADDRESS(14,9)) / INDIRECT(ADDRESS(18,9)),0)</f>
        <v>0.3231302669178675</v>
      </c>
      <c r="AP14" s="4">
        <f ca="1">IFERROR((INDIRECT(ADDRESS(14,9)) - INDIRECT(ADDRESS(14,3)))/ INDIRECT(ADDRESS(14,3)),1)</f>
        <v>-7.2220923837789511E-2</v>
      </c>
      <c r="AQ14" s="3">
        <f ca="1">INDIRECT(ADDRESS(14,14))</f>
        <v>559415543.40180004</v>
      </c>
      <c r="AR14" s="4">
        <f ca="1">IFERROR(INDIRECT(ADDRESS(14,14)) / INDIRECT(ADDRESS(18,14)),0)</f>
        <v>0.32484085591017892</v>
      </c>
      <c r="AS14" s="4">
        <f ca="1">IFERROR((INDIRECT(ADDRESS(14,14)) - INDIRECT(ADDRESS(14,3)))/ INDIRECT(ADDRESS(14,3)),1)</f>
        <v>-0.20200529822156801</v>
      </c>
      <c r="AT14" s="3">
        <f ca="1">INDIRECT(ADDRESS(14,19))</f>
        <v>550430991.86979997</v>
      </c>
      <c r="AU14" s="4">
        <f ca="1">IFERROR(INDIRECT(ADDRESS(14,19)) / INDIRECT(ADDRESS(18,19)),0)</f>
        <v>0.3580017960937491</v>
      </c>
      <c r="AV14" s="4">
        <f ca="1">IFERROR((INDIRECT(ADDRESS(14,19)) - INDIRECT(ADDRESS(14,3)))/ INDIRECT(ADDRESS(14,3)),1)</f>
        <v>-0.2148215751465761</v>
      </c>
      <c r="AW14" s="3">
        <f ca="1">INDIRECT(ADDRESS(14,24))</f>
        <v>546608510.24979997</v>
      </c>
      <c r="AX14" s="4">
        <f ca="1">IFERROR(INDIRECT(ADDRESS(14,24)) / INDIRECT(ADDRESS(18,24)),0)</f>
        <v>0.3934606578245019</v>
      </c>
      <c r="AY14" s="4">
        <f ca="1">IFERROR((INDIRECT(ADDRESS(14,24)) - INDIRECT(ADDRESS(14,3)))/ INDIRECT(ADDRESS(14,3)),1)</f>
        <v>-0.22027426611375317</v>
      </c>
      <c r="AZ14" s="3">
        <f ca="1">INDIRECT(ADDRESS(14,29))</f>
        <v>523465325.60280001</v>
      </c>
      <c r="BA14" s="4">
        <f ca="1">IFERROR(INDIRECT(ADDRESS(14,29)) / INDIRECT(ADDRESS(18,29)),0)</f>
        <v>0.39682944121388819</v>
      </c>
      <c r="BB14" s="4">
        <f ca="1">IFERROR((INDIRECT(ADDRESS(14,29)) - INDIRECT(ADDRESS(14,3)))/ INDIRECT(ADDRESS(14,3)),1)</f>
        <v>-0.25328754032183354</v>
      </c>
      <c r="BC14" s="3">
        <f ca="1">INDIRECT(ADDRESS(14,34))</f>
        <v>520458544.14579999</v>
      </c>
      <c r="BD14" s="4">
        <f ca="1">IFERROR(INDIRECT(ADDRESS(14,34)) / INDIRECT(ADDRESS(18,34)),0)</f>
        <v>0.4038676827691835</v>
      </c>
      <c r="BE14" s="4">
        <f ca="1">IFERROR((INDIRECT(ADDRESS(14,34)) - INDIRECT(ADDRESS(14,3)))/ INDIRECT(ADDRESS(14,3)),1)</f>
        <v>-0.25757665187833578</v>
      </c>
    </row>
    <row r="15" spans="1:57" x14ac:dyDescent="0.25">
      <c r="A15" s="5"/>
      <c r="B15" s="1" t="s">
        <v>26</v>
      </c>
      <c r="C15">
        <v>424886232.45700002</v>
      </c>
      <c r="D15">
        <v>424928230.16000003</v>
      </c>
      <c r="E15">
        <v>424928232.56199998</v>
      </c>
      <c r="F15">
        <v>424928236.89300001</v>
      </c>
      <c r="G15">
        <v>424856064.47399998</v>
      </c>
      <c r="H15">
        <v>424782254.89399999</v>
      </c>
      <c r="I15">
        <v>421187203.005</v>
      </c>
      <c r="J15">
        <v>416622995.99599999</v>
      </c>
      <c r="K15">
        <v>412191116.73900002</v>
      </c>
      <c r="L15">
        <v>407885894.11400002</v>
      </c>
      <c r="M15">
        <v>403701733.352</v>
      </c>
      <c r="N15">
        <v>398486420.82099998</v>
      </c>
      <c r="O15">
        <v>394740632.07099998</v>
      </c>
      <c r="P15">
        <v>391096075.00300002</v>
      </c>
      <c r="Q15">
        <v>387548526.05699998</v>
      </c>
      <c r="R15">
        <v>384094181.01300001</v>
      </c>
      <c r="S15">
        <v>380729299.47100002</v>
      </c>
      <c r="T15">
        <v>377759242.12400001</v>
      </c>
      <c r="U15">
        <v>374866805.67900002</v>
      </c>
      <c r="V15">
        <v>372049093.537</v>
      </c>
      <c r="W15">
        <v>369303294.39600003</v>
      </c>
      <c r="X15">
        <v>366626738.65799999</v>
      </c>
      <c r="Y15">
        <v>363766555.60699999</v>
      </c>
      <c r="Z15">
        <v>360976074.05800003</v>
      </c>
      <c r="AA15">
        <v>358252757.31099999</v>
      </c>
      <c r="AB15">
        <v>355594299.46600002</v>
      </c>
      <c r="AC15">
        <v>352165349.42299998</v>
      </c>
      <c r="AD15">
        <v>349456071.25999999</v>
      </c>
      <c r="AE15">
        <v>346808619.49800003</v>
      </c>
      <c r="AF15">
        <v>344221007.93900001</v>
      </c>
      <c r="AG15">
        <v>341691108.58099997</v>
      </c>
      <c r="AH15">
        <v>339217132.926</v>
      </c>
      <c r="AK15" s="3" t="str">
        <f ca="1">INDIRECT(ADDRESS(15,2))</f>
        <v>Industrial</v>
      </c>
      <c r="AL15" s="3">
        <f ca="1">INDIRECT(ADDRESS(15,3))</f>
        <v>424886232.45700002</v>
      </c>
      <c r="AM15" s="4">
        <f ca="1">IFERROR(INDIRECT(ADDRESS(15,3)) / INDIRECT(ADDRESS(18,3)),0)</f>
        <v>0.19392829492032371</v>
      </c>
      <c r="AN15" s="3">
        <f ca="1">INDIRECT(ADDRESS(15,9))</f>
        <v>421187203.005</v>
      </c>
      <c r="AO15" s="4">
        <f ca="1">IFERROR(INDIRECT(ADDRESS(15,9)) / INDIRECT(ADDRESS(18,9)),0)</f>
        <v>0.20925397267612045</v>
      </c>
      <c r="AP15" s="4">
        <f ca="1">IFERROR((INDIRECT(ADDRESS(15,9)) - INDIRECT(ADDRESS(15,3)))/ INDIRECT(ADDRESS(15,3)),1)</f>
        <v>-8.705929186289596E-3</v>
      </c>
      <c r="AQ15" s="3">
        <f ca="1">INDIRECT(ADDRESS(15,14))</f>
        <v>398486420.82099998</v>
      </c>
      <c r="AR15" s="4">
        <f ca="1">IFERROR(INDIRECT(ADDRESS(15,14)) / INDIRECT(ADDRESS(18,14)),0)</f>
        <v>0.23139269463434231</v>
      </c>
      <c r="AS15" s="4">
        <f ca="1">IFERROR((INDIRECT(ADDRESS(15,14)) - INDIRECT(ADDRESS(15,3)))/ INDIRECT(ADDRESS(15,3)),1)</f>
        <v>-6.2133836352703642E-2</v>
      </c>
      <c r="AT15" s="3">
        <f ca="1">INDIRECT(ADDRESS(15,19))</f>
        <v>380729299.47100002</v>
      </c>
      <c r="AU15" s="4">
        <f ca="1">IFERROR(INDIRECT(ADDRESS(15,19)) / INDIRECT(ADDRESS(18,19)),0)</f>
        <v>0.24762735937727498</v>
      </c>
      <c r="AV15" s="4">
        <f ca="1">IFERROR((INDIRECT(ADDRESS(15,19)) - INDIRECT(ADDRESS(15,3)))/ INDIRECT(ADDRESS(15,3)),1)</f>
        <v>-0.10392648575749942</v>
      </c>
      <c r="AW15" s="3">
        <f ca="1">INDIRECT(ADDRESS(15,24))</f>
        <v>366626738.65799999</v>
      </c>
      <c r="AX15" s="4">
        <f ca="1">IFERROR(INDIRECT(ADDRESS(15,24)) / INDIRECT(ADDRESS(18,24)),0)</f>
        <v>0.26390587607665444</v>
      </c>
      <c r="AY15" s="4">
        <f ca="1">IFERROR((INDIRECT(ADDRESS(15,24)) - INDIRECT(ADDRESS(15,3)))/ INDIRECT(ADDRESS(15,3)),1)</f>
        <v>-0.13711786673364637</v>
      </c>
      <c r="AZ15" s="3">
        <f ca="1">INDIRECT(ADDRESS(15,29))</f>
        <v>352165349.42299998</v>
      </c>
      <c r="BA15" s="4">
        <f ca="1">IFERROR(INDIRECT(ADDRESS(15,29)) / INDIRECT(ADDRESS(18,29)),0)</f>
        <v>0.26697007803810729</v>
      </c>
      <c r="BB15" s="4">
        <f ca="1">IFERROR((INDIRECT(ADDRESS(15,29)) - INDIRECT(ADDRESS(15,3)))/ INDIRECT(ADDRESS(15,3)),1)</f>
        <v>-0.17115377594956468</v>
      </c>
      <c r="BC15" s="3">
        <f ca="1">INDIRECT(ADDRESS(15,34))</f>
        <v>339217132.926</v>
      </c>
      <c r="BD15" s="4">
        <f ca="1">IFERROR(INDIRECT(ADDRESS(15,34)) / INDIRECT(ADDRESS(18,34)),0)</f>
        <v>0.26322718489573144</v>
      </c>
      <c r="BE15" s="4">
        <f ca="1">IFERROR((INDIRECT(ADDRESS(15,34)) - INDIRECT(ADDRESS(15,3)))/ INDIRECT(ADDRESS(15,3)),1)</f>
        <v>-0.20162832538865574</v>
      </c>
    </row>
    <row r="16" spans="1:57" x14ac:dyDescent="0.25">
      <c r="A16" s="5"/>
      <c r="B16" s="1" t="s">
        <v>27</v>
      </c>
      <c r="C16">
        <v>259975762.697</v>
      </c>
      <c r="D16">
        <v>260122538.94600001</v>
      </c>
      <c r="E16">
        <v>259206421.79699999</v>
      </c>
      <c r="F16">
        <v>259120539.31999999</v>
      </c>
      <c r="G16">
        <v>257612295.77000001</v>
      </c>
      <c r="H16">
        <v>255716240.72999999</v>
      </c>
      <c r="I16">
        <v>252686975.61000001</v>
      </c>
      <c r="J16">
        <v>249039880.40000001</v>
      </c>
      <c r="K16">
        <v>244926422.40000001</v>
      </c>
      <c r="L16">
        <v>240351755.90000001</v>
      </c>
      <c r="M16">
        <v>235345506.80000001</v>
      </c>
      <c r="N16">
        <v>229125657.30000001</v>
      </c>
      <c r="O16">
        <v>222474750.30000001</v>
      </c>
      <c r="P16">
        <v>215448715.5</v>
      </c>
      <c r="Q16">
        <v>207943031</v>
      </c>
      <c r="R16">
        <v>199938931.69999999</v>
      </c>
      <c r="S16">
        <v>191720032</v>
      </c>
      <c r="T16">
        <v>182908517.5</v>
      </c>
      <c r="U16">
        <v>173726945.5</v>
      </c>
      <c r="V16">
        <v>164263699.40000001</v>
      </c>
      <c r="W16">
        <v>155034291.06999999</v>
      </c>
      <c r="X16">
        <v>145872660</v>
      </c>
      <c r="Y16">
        <v>143483521.55000001</v>
      </c>
      <c r="Z16">
        <v>142503683.31</v>
      </c>
      <c r="AA16">
        <v>141622687.81999999</v>
      </c>
      <c r="AB16">
        <v>140808042.94</v>
      </c>
      <c r="AC16">
        <v>140010547.89199999</v>
      </c>
      <c r="AD16">
        <v>139141478.586</v>
      </c>
      <c r="AE16">
        <v>138284042.51199999</v>
      </c>
      <c r="AF16">
        <v>137420317.29499999</v>
      </c>
      <c r="AG16">
        <v>136672709.26550001</v>
      </c>
      <c r="AH16">
        <v>135955954.6726</v>
      </c>
      <c r="AK16" s="3" t="str">
        <f ca="1">INDIRECT(ADDRESS(16,2))</f>
        <v>Residential</v>
      </c>
      <c r="AL16" s="3">
        <f ca="1">INDIRECT(ADDRESS(16,3))</f>
        <v>259975762.697</v>
      </c>
      <c r="AM16" s="4">
        <f ca="1">IFERROR(INDIRECT(ADDRESS(16,3)) / INDIRECT(ADDRESS(18,3)),0)</f>
        <v>0.11865919045880652</v>
      </c>
      <c r="AN16" s="3">
        <f ca="1">INDIRECT(ADDRESS(16,9))</f>
        <v>252686975.61000001</v>
      </c>
      <c r="AO16" s="4">
        <f ca="1">IFERROR(INDIRECT(ADDRESS(16,9)) / INDIRECT(ADDRESS(18,9)),0)</f>
        <v>0.12553979112532238</v>
      </c>
      <c r="AP16" s="4">
        <f ca="1">IFERROR((INDIRECT(ADDRESS(16,9)) - INDIRECT(ADDRESS(16,3)))/ INDIRECT(ADDRESS(16,3)),1)</f>
        <v>-2.803641005371341E-2</v>
      </c>
      <c r="AQ16" s="3">
        <f ca="1">INDIRECT(ADDRESS(16,14))</f>
        <v>229125657.30000001</v>
      </c>
      <c r="AR16" s="4">
        <f ca="1">IFERROR(INDIRECT(ADDRESS(16,14)) / INDIRECT(ADDRESS(18,14)),0)</f>
        <v>0.13304845656541842</v>
      </c>
      <c r="AS16" s="4">
        <f ca="1">IFERROR((INDIRECT(ADDRESS(16,14)) - INDIRECT(ADDRESS(16,3)))/ INDIRECT(ADDRESS(16,3)),1)</f>
        <v>-0.11866531355446229</v>
      </c>
      <c r="AT16" s="3">
        <f ca="1">INDIRECT(ADDRESS(16,19))</f>
        <v>191720032</v>
      </c>
      <c r="AU16" s="4">
        <f ca="1">IFERROR(INDIRECT(ADDRESS(16,19)) / INDIRECT(ADDRESS(18,19)),0)</f>
        <v>0.12469522395531532</v>
      </c>
      <c r="AV16" s="4">
        <f ca="1">IFERROR((INDIRECT(ADDRESS(16,19)) - INDIRECT(ADDRESS(16,3)))/ INDIRECT(ADDRESS(16,3)),1)</f>
        <v>-0.26254651583252242</v>
      </c>
      <c r="AW16" s="3">
        <f ca="1">INDIRECT(ADDRESS(16,24))</f>
        <v>145872660</v>
      </c>
      <c r="AX16" s="4">
        <f ca="1">IFERROR(INDIRECT(ADDRESS(16,24)) / INDIRECT(ADDRESS(18,24)),0)</f>
        <v>0.10500230363405856</v>
      </c>
      <c r="AY16" s="4">
        <f ca="1">IFERROR((INDIRECT(ADDRESS(16,24)) - INDIRECT(ADDRESS(16,3)))/ INDIRECT(ADDRESS(16,3)),1)</f>
        <v>-0.43889900163495776</v>
      </c>
      <c r="AZ16" s="3">
        <f ca="1">INDIRECT(ADDRESS(16,29))</f>
        <v>140010547.89199999</v>
      </c>
      <c r="BA16" s="4">
        <f ca="1">IFERROR(INDIRECT(ADDRESS(16,29)) / INDIRECT(ADDRESS(18,29)),0)</f>
        <v>0.10613942274027767</v>
      </c>
      <c r="BB16" s="4">
        <f ca="1">IFERROR((INDIRECT(ADDRESS(16,29)) - INDIRECT(ADDRESS(16,3)))/ INDIRECT(ADDRESS(16,3)),1)</f>
        <v>-0.46144768866326458</v>
      </c>
      <c r="BC16" s="3">
        <f ca="1">INDIRECT(ADDRESS(16,34))</f>
        <v>135955954.6726</v>
      </c>
      <c r="BD16" s="4">
        <f ca="1">IFERROR(INDIRECT(ADDRESS(16,34)) / INDIRECT(ADDRESS(18,34)),0)</f>
        <v>0.105499692511366</v>
      </c>
      <c r="BE16" s="4">
        <f ca="1">IFERROR((INDIRECT(ADDRESS(16,34)) - INDIRECT(ADDRESS(16,3)))/ INDIRECT(ADDRESS(16,3)),1)</f>
        <v>-0.47704373183797233</v>
      </c>
    </row>
    <row r="17" spans="1:57" x14ac:dyDescent="0.25">
      <c r="A17" s="5"/>
      <c r="B17" s="1" t="s">
        <v>28</v>
      </c>
      <c r="C17">
        <v>590226101.63999999</v>
      </c>
      <c r="D17">
        <v>581432680.44000006</v>
      </c>
      <c r="E17">
        <v>566556353.37300003</v>
      </c>
      <c r="F17">
        <v>548603597.39600003</v>
      </c>
      <c r="G17">
        <v>531846903.31800002</v>
      </c>
      <c r="H17">
        <v>509521022.352</v>
      </c>
      <c r="I17">
        <v>476146337.38</v>
      </c>
      <c r="J17">
        <v>450801625.41000003</v>
      </c>
      <c r="K17">
        <v>424260026.32999998</v>
      </c>
      <c r="L17">
        <v>397368123.36000001</v>
      </c>
      <c r="M17">
        <v>371609520.39999998</v>
      </c>
      <c r="N17">
        <v>349262801.31999999</v>
      </c>
      <c r="O17">
        <v>329789993.33999997</v>
      </c>
      <c r="P17">
        <v>312655864.37</v>
      </c>
      <c r="Q17">
        <v>296744071.41000003</v>
      </c>
      <c r="R17">
        <v>279057289.32999998</v>
      </c>
      <c r="S17">
        <v>263902833.34999999</v>
      </c>
      <c r="T17">
        <v>254067855.38999999</v>
      </c>
      <c r="U17">
        <v>244081734.31999999</v>
      </c>
      <c r="V17">
        <v>234410956.34</v>
      </c>
      <c r="W17">
        <v>225417225.34</v>
      </c>
      <c r="X17">
        <v>217217860.34</v>
      </c>
      <c r="Y17">
        <v>211622512.34</v>
      </c>
      <c r="Z17">
        <v>206442928.34</v>
      </c>
      <c r="AA17">
        <v>201823948.34</v>
      </c>
      <c r="AB17">
        <v>197825358.34</v>
      </c>
      <c r="AC17">
        <v>194427178.34</v>
      </c>
      <c r="AD17">
        <v>191611049.34</v>
      </c>
      <c r="AE17">
        <v>189323291.34</v>
      </c>
      <c r="AF17">
        <v>187496124.34</v>
      </c>
      <c r="AG17">
        <v>186035024.34</v>
      </c>
      <c r="AH17">
        <v>184809207.74000001</v>
      </c>
      <c r="AK17" s="3" t="str">
        <f ca="1">INDIRECT(ADDRESS(17,2))</f>
        <v>Transportation</v>
      </c>
      <c r="AL17" s="3">
        <f ca="1">INDIRECT(ADDRESS(17,3))</f>
        <v>590226101.63999999</v>
      </c>
      <c r="AM17" s="4">
        <f ca="1">IFERROR(INDIRECT(ADDRESS(17,3)) / INDIRECT(ADDRESS(18,3)),0)</f>
        <v>0.26939338760546633</v>
      </c>
      <c r="AN17" s="3">
        <f ca="1">INDIRECT(ADDRESS(17,9))</f>
        <v>476146337.38</v>
      </c>
      <c r="AO17" s="4">
        <f ca="1">IFERROR(INDIRECT(ADDRESS(17,9)) / INDIRECT(ADDRESS(18,9)),0)</f>
        <v>0.23655873673532896</v>
      </c>
      <c r="AP17" s="4">
        <f ca="1">IFERROR((INDIRECT(ADDRESS(17,9)) - INDIRECT(ADDRESS(17,3)))/ INDIRECT(ADDRESS(17,3)),1)</f>
        <v>-0.19328146271914848</v>
      </c>
      <c r="AQ17" s="3">
        <f ca="1">INDIRECT(ADDRESS(17,14))</f>
        <v>349262801.31999999</v>
      </c>
      <c r="AR17" s="4">
        <f ca="1">IFERROR(INDIRECT(ADDRESS(17,14)) / INDIRECT(ADDRESS(18,14)),0)</f>
        <v>0.20280957269878122</v>
      </c>
      <c r="AS17" s="4">
        <f ca="1">IFERROR((INDIRECT(ADDRESS(17,14)) - INDIRECT(ADDRESS(17,3)))/ INDIRECT(ADDRESS(17,3)),1)</f>
        <v>-0.40825592031674013</v>
      </c>
      <c r="AT17" s="3">
        <f ca="1">INDIRECT(ADDRESS(17,19))</f>
        <v>263902833.34999999</v>
      </c>
      <c r="AU17" s="4">
        <f ca="1">IFERROR(INDIRECT(ADDRESS(17,19)) / INDIRECT(ADDRESS(18,19)),0)</f>
        <v>0.17164311190507472</v>
      </c>
      <c r="AV17" s="4">
        <f ca="1">IFERROR((INDIRECT(ADDRESS(17,19)) - INDIRECT(ADDRESS(17,3)))/ INDIRECT(ADDRESS(17,3)),1)</f>
        <v>-0.55287840944898803</v>
      </c>
      <c r="AW17" s="3">
        <f ca="1">INDIRECT(ADDRESS(17,24))</f>
        <v>217217860.34</v>
      </c>
      <c r="AX17" s="4">
        <f ca="1">IFERROR(INDIRECT(ADDRESS(17,24)) / INDIRECT(ADDRESS(18,24)),0)</f>
        <v>0.15635812582125538</v>
      </c>
      <c r="AY17" s="4">
        <f ca="1">IFERROR((INDIRECT(ADDRESS(17,24)) - INDIRECT(ADDRESS(17,3)))/ INDIRECT(ADDRESS(17,3)),1)</f>
        <v>-0.63197517063979491</v>
      </c>
      <c r="AZ17" s="3">
        <f ca="1">INDIRECT(ADDRESS(17,29))</f>
        <v>194427178.34</v>
      </c>
      <c r="BA17" s="4">
        <f ca="1">IFERROR(INDIRECT(ADDRESS(17,29)) / INDIRECT(ADDRESS(18,29)),0)</f>
        <v>0.14739167001865403</v>
      </c>
      <c r="BB17" s="4">
        <f ca="1">IFERROR((INDIRECT(ADDRESS(17,29)) - INDIRECT(ADDRESS(17,3)))/ INDIRECT(ADDRESS(17,3)),1)</f>
        <v>-0.67058864763898884</v>
      </c>
      <c r="BC17" s="3">
        <f ca="1">INDIRECT(ADDRESS(17,34))</f>
        <v>184809207.74000001</v>
      </c>
      <c r="BD17" s="4">
        <f ca="1">IFERROR(INDIRECT(ADDRESS(17,34)) / INDIRECT(ADDRESS(18,34)),0)</f>
        <v>0.14340905212126445</v>
      </c>
      <c r="BE17" s="4">
        <f ca="1">IFERROR((INDIRECT(ADDRESS(17,34)) - INDIRECT(ADDRESS(17,3)))/ INDIRECT(ADDRESS(17,3)),1)</f>
        <v>-0.686884047949608</v>
      </c>
    </row>
    <row r="18" spans="1:57" x14ac:dyDescent="0.25">
      <c r="A18" s="1" t="s">
        <v>21</v>
      </c>
      <c r="B18" s="1"/>
      <c r="C18">
        <v>2190945022.3937998</v>
      </c>
      <c r="D18">
        <v>2180869697.6838002</v>
      </c>
      <c r="E18">
        <v>2166352953.4560518</v>
      </c>
      <c r="F18">
        <v>2149582399.5924578</v>
      </c>
      <c r="G18">
        <v>2131241617.4538</v>
      </c>
      <c r="H18">
        <v>2101735218.0488</v>
      </c>
      <c r="I18">
        <v>2012803855.6138</v>
      </c>
      <c r="J18">
        <v>1972663403.7778001</v>
      </c>
      <c r="K18">
        <v>1930955990.6157999</v>
      </c>
      <c r="L18">
        <v>1888550512.3308001</v>
      </c>
      <c r="M18">
        <v>1844138362.8268001</v>
      </c>
      <c r="N18">
        <v>1722121873.5998001</v>
      </c>
      <c r="O18">
        <v>1683421232.1933</v>
      </c>
      <c r="P18">
        <v>1646696766.059</v>
      </c>
      <c r="Q18">
        <v>1610676064.1689999</v>
      </c>
      <c r="R18">
        <v>1571405028.4684501</v>
      </c>
      <c r="S18">
        <v>1537509023.35043</v>
      </c>
      <c r="T18">
        <v>1508474249.4924099</v>
      </c>
      <c r="U18">
        <v>1478614867.5457301</v>
      </c>
      <c r="V18">
        <v>1448363557.42417</v>
      </c>
      <c r="W18">
        <v>1417936996.97785</v>
      </c>
      <c r="X18">
        <v>1389232949.6729701</v>
      </c>
      <c r="Y18">
        <v>1376439629.2681</v>
      </c>
      <c r="Z18">
        <v>1365679369.1356699</v>
      </c>
      <c r="AA18">
        <v>1355913707.99668</v>
      </c>
      <c r="AB18">
        <v>1346826755.6343</v>
      </c>
      <c r="AC18">
        <v>1319119176.2424099</v>
      </c>
      <c r="AD18">
        <v>1311931742.1835699</v>
      </c>
      <c r="AE18">
        <v>1305361801.4474399</v>
      </c>
      <c r="AF18">
        <v>1299320560.3759601</v>
      </c>
      <c r="AG18">
        <v>1293246343.7084999</v>
      </c>
      <c r="AH18">
        <v>1288685790.7946301</v>
      </c>
    </row>
    <row r="19" spans="1:57" x14ac:dyDescent="0.25">
      <c r="A19" s="5" t="s">
        <v>2</v>
      </c>
      <c r="B19" s="1" t="s">
        <v>22</v>
      </c>
      <c r="C19">
        <v>8877019.4220000003</v>
      </c>
      <c r="D19">
        <v>8877019.4220000003</v>
      </c>
      <c r="E19">
        <v>8877019.4220000003</v>
      </c>
      <c r="F19">
        <v>8877019.4220000003</v>
      </c>
      <c r="G19">
        <v>8877019.5591599997</v>
      </c>
      <c r="H19">
        <v>8877019.8000000007</v>
      </c>
      <c r="I19">
        <v>8877018.9215999991</v>
      </c>
      <c r="J19">
        <v>8877019.1951000001</v>
      </c>
      <c r="K19">
        <v>8877019.3910000008</v>
      </c>
      <c r="L19">
        <v>8877019.5470000003</v>
      </c>
      <c r="M19">
        <v>8877019.875</v>
      </c>
      <c r="N19">
        <v>8877020.0189999994</v>
      </c>
      <c r="O19">
        <v>8877019.2550000008</v>
      </c>
      <c r="P19">
        <v>8877019.3910000008</v>
      </c>
      <c r="Q19">
        <v>8877019.5879999995</v>
      </c>
      <c r="R19">
        <v>8877019.8900000006</v>
      </c>
      <c r="S19">
        <v>8877020.4649999999</v>
      </c>
      <c r="T19">
        <v>8877020.4120000005</v>
      </c>
      <c r="U19">
        <v>8877019.4509999994</v>
      </c>
      <c r="V19">
        <v>8877019.477</v>
      </c>
      <c r="W19">
        <v>8877020.5099999998</v>
      </c>
      <c r="X19">
        <v>8877019.938000001</v>
      </c>
      <c r="Y19">
        <v>8877020.0489999987</v>
      </c>
      <c r="Z19">
        <v>8877020.1270000003</v>
      </c>
      <c r="AA19">
        <v>8877020.0419999994</v>
      </c>
      <c r="AB19">
        <v>8877020.7131000012</v>
      </c>
      <c r="AC19">
        <v>8877019.9605</v>
      </c>
      <c r="AD19">
        <v>8877019.9884000011</v>
      </c>
      <c r="AE19">
        <v>8877020.4211999997</v>
      </c>
      <c r="AF19">
        <v>8877020.6609176919</v>
      </c>
      <c r="AG19">
        <v>8877020.6609176919</v>
      </c>
      <c r="AH19">
        <v>8877020.6609176919</v>
      </c>
      <c r="AK19" s="3" t="str">
        <f ca="1">INDIRECT(ADDRESS(19,2))</f>
        <v>Agriculture</v>
      </c>
      <c r="AL19" s="3">
        <f ca="1">INDIRECT(ADDRESS(19,3))</f>
        <v>8877019.4220000003</v>
      </c>
      <c r="AM19" s="4">
        <f ca="1">IFERROR(INDIRECT(ADDRESS(19,3)) / INDIRECT(ADDRESS(25,3)),0)</f>
        <v>4.0516851547014524E-3</v>
      </c>
      <c r="AN19" s="3">
        <f ca="1">INDIRECT(ADDRESS(19,9))</f>
        <v>8877018.9215999991</v>
      </c>
      <c r="AO19" s="4">
        <f ca="1">IFERROR(INDIRECT(ADDRESS(19,9)) / INDIRECT(ADDRESS(25,9)),0)</f>
        <v>4.3318593724832946E-3</v>
      </c>
      <c r="AP19" s="4">
        <f ca="1">IFERROR((INDIRECT(ADDRESS(19,9)) - INDIRECT(ADDRESS(19,3)))/ INDIRECT(ADDRESS(19,3)),1)</f>
        <v>-5.6370272204542689E-8</v>
      </c>
      <c r="AQ19" s="3">
        <f ca="1">INDIRECT(ADDRESS(19,14))</f>
        <v>8877020.0189999994</v>
      </c>
      <c r="AR19" s="4">
        <f ca="1">IFERROR(INDIRECT(ADDRESS(19,14)) / INDIRECT(ADDRESS(25,14)),0)</f>
        <v>4.9451436276748764E-3</v>
      </c>
      <c r="AS19" s="4">
        <f ca="1">IFERROR((INDIRECT(ADDRESS(19,14)) - INDIRECT(ADDRESS(19,3)))/ INDIRECT(ADDRESS(19,3)),1)</f>
        <v>6.7252302913315918E-8</v>
      </c>
      <c r="AT19" s="3">
        <f ca="1">INDIRECT(ADDRESS(19,19))</f>
        <v>8877020.4649999999</v>
      </c>
      <c r="AU19" s="4">
        <f ca="1">IFERROR(INDIRECT(ADDRESS(19,19)) / INDIRECT(ADDRESS(25,19)),0)</f>
        <v>5.3754829735965107E-3</v>
      </c>
      <c r="AV19" s="4">
        <f ca="1">IFERROR((INDIRECT(ADDRESS(19,19)) - INDIRECT(ADDRESS(19,3)))/ INDIRECT(ADDRESS(19,3)),1)</f>
        <v>1.1749439198170413E-7</v>
      </c>
      <c r="AW19" s="3">
        <f ca="1">INDIRECT(ADDRESS(19,24))</f>
        <v>8877019.938000001</v>
      </c>
      <c r="AX19" s="4">
        <f ca="1">IFERROR(INDIRECT(ADDRESS(19,24)) / INDIRECT(ADDRESS(25,24)),0)</f>
        <v>5.8793558608831115E-3</v>
      </c>
      <c r="AY19" s="4">
        <f ca="1">IFERROR((INDIRECT(ADDRESS(19,24)) - INDIRECT(ADDRESS(19,3)))/ INDIRECT(ADDRESS(19,3)),1)</f>
        <v>5.8127618768204064E-8</v>
      </c>
      <c r="AZ19" s="3">
        <f ca="1">INDIRECT(ADDRESS(19,29))</f>
        <v>8877019.9605</v>
      </c>
      <c r="BA19" s="4">
        <f ca="1">IFERROR(INDIRECT(ADDRESS(19,29)) / INDIRECT(ADDRESS(25,29)),0)</f>
        <v>6.1405458781108738E-3</v>
      </c>
      <c r="BB19" s="4">
        <f ca="1">IFERROR((INDIRECT(ADDRESS(19,29)) - INDIRECT(ADDRESS(19,3)))/ INDIRECT(ADDRESS(19,3)),1)</f>
        <v>6.066225319467187E-8</v>
      </c>
      <c r="BC19" s="3">
        <f ca="1">INDIRECT(ADDRESS(19,34))</f>
        <v>8877020.6609176919</v>
      </c>
      <c r="BD19" s="4">
        <f ca="1">IFERROR(INDIRECT(ADDRESS(19,34)) / INDIRECT(ADDRESS(25,34)),0)</f>
        <v>6.2425988801784521E-3</v>
      </c>
      <c r="BE19" s="4">
        <f ca="1">IFERROR((INDIRECT(ADDRESS(19,34)) - INDIRECT(ADDRESS(19,3)))/ INDIRECT(ADDRESS(19,3)),1)</f>
        <v>1.3956460302009523E-7</v>
      </c>
    </row>
    <row r="20" spans="1:57" x14ac:dyDescent="0.25">
      <c r="A20" s="5"/>
      <c r="B20" s="1" t="s">
        <v>23</v>
      </c>
      <c r="C20">
        <v>205953267.586</v>
      </c>
      <c r="D20">
        <v>205808532.014</v>
      </c>
      <c r="E20">
        <v>207084220.95899999</v>
      </c>
      <c r="F20">
        <v>208352342.46599999</v>
      </c>
      <c r="G20">
        <v>209291377.50650001</v>
      </c>
      <c r="H20">
        <v>205022162.68599999</v>
      </c>
      <c r="I20">
        <v>203540982.90599999</v>
      </c>
      <c r="J20">
        <v>198955629.96200001</v>
      </c>
      <c r="K20">
        <v>194302825.905</v>
      </c>
      <c r="L20">
        <v>189606654.993</v>
      </c>
      <c r="M20">
        <v>182613677.83899999</v>
      </c>
      <c r="N20">
        <v>178213733.62400001</v>
      </c>
      <c r="O20">
        <v>171992143.1047</v>
      </c>
      <c r="P20">
        <v>165710811.01640001</v>
      </c>
      <c r="Q20">
        <v>159287084.87830001</v>
      </c>
      <c r="R20">
        <v>151756438.31698</v>
      </c>
      <c r="S20">
        <v>146863525.12821999</v>
      </c>
      <c r="T20">
        <v>140663956.61291</v>
      </c>
      <c r="U20">
        <v>133929262.25879</v>
      </c>
      <c r="V20">
        <v>126504771.73616999</v>
      </c>
      <c r="W20">
        <v>117722414.6636</v>
      </c>
      <c r="X20">
        <v>109582006.08137</v>
      </c>
      <c r="Y20">
        <v>108135339.01774999</v>
      </c>
      <c r="Z20">
        <v>106799542.98657</v>
      </c>
      <c r="AA20">
        <v>105693043.77586</v>
      </c>
      <c r="AB20">
        <v>104556944.58007</v>
      </c>
      <c r="AC20">
        <v>104818661.77816001</v>
      </c>
      <c r="AD20">
        <v>104574334.66564</v>
      </c>
      <c r="AE20">
        <v>104332053.40582</v>
      </c>
      <c r="AF20">
        <v>104090805.232896</v>
      </c>
      <c r="AG20">
        <v>103245963.10875361</v>
      </c>
      <c r="AH20">
        <v>103616179.6102751</v>
      </c>
      <c r="AK20" s="3" t="str">
        <f ca="1">INDIRECT(ADDRESS(20,2))</f>
        <v>Commercial</v>
      </c>
      <c r="AL20" s="3">
        <f ca="1">INDIRECT(ADDRESS(20,3))</f>
        <v>205953267.586</v>
      </c>
      <c r="AM20" s="4">
        <f ca="1">IFERROR(INDIRECT(ADDRESS(20,3)) / INDIRECT(ADDRESS(25,3)),0)</f>
        <v>9.4002024460192971E-2</v>
      </c>
      <c r="AN20" s="3">
        <f ca="1">INDIRECT(ADDRESS(20,9))</f>
        <v>203540982.90599999</v>
      </c>
      <c r="AO20" s="4">
        <f ca="1">IFERROR(INDIRECT(ADDRESS(20,9)) / INDIRECT(ADDRESS(25,9)),0)</f>
        <v>9.9325113787962729E-2</v>
      </c>
      <c r="AP20" s="4">
        <f ca="1">IFERROR((INDIRECT(ADDRESS(20,9)) - INDIRECT(ADDRESS(20,3)))/ INDIRECT(ADDRESS(20,3)),1)</f>
        <v>-1.1712776923982079E-2</v>
      </c>
      <c r="AQ20" s="3">
        <f ca="1">INDIRECT(ADDRESS(20,14))</f>
        <v>178213733.62400001</v>
      </c>
      <c r="AR20" s="4">
        <f ca="1">IFERROR(INDIRECT(ADDRESS(20,14)) / INDIRECT(ADDRESS(25,14)),0)</f>
        <v>9.9277967978960296E-2</v>
      </c>
      <c r="AS20" s="4">
        <f ca="1">IFERROR((INDIRECT(ADDRESS(20,14)) - INDIRECT(ADDRESS(20,3)))/ INDIRECT(ADDRESS(20,3)),1)</f>
        <v>-0.13468848679672815</v>
      </c>
      <c r="AT20" s="3">
        <f ca="1">INDIRECT(ADDRESS(20,19))</f>
        <v>146863525.12821999</v>
      </c>
      <c r="AU20" s="4">
        <f ca="1">IFERROR(INDIRECT(ADDRESS(20,19)) / INDIRECT(ADDRESS(25,19)),0)</f>
        <v>8.8933261096082183E-2</v>
      </c>
      <c r="AV20" s="4">
        <f ca="1">IFERROR((INDIRECT(ADDRESS(20,19)) - INDIRECT(ADDRESS(20,3)))/ INDIRECT(ADDRESS(20,3)),1)</f>
        <v>-0.28690849701185672</v>
      </c>
      <c r="AW20" s="3">
        <f ca="1">INDIRECT(ADDRESS(20,24))</f>
        <v>109582006.08137</v>
      </c>
      <c r="AX20" s="4">
        <f ca="1">IFERROR(INDIRECT(ADDRESS(20,24)) / INDIRECT(ADDRESS(25,24)),0)</f>
        <v>7.2577465658704626E-2</v>
      </c>
      <c r="AY20" s="4">
        <f ca="1">IFERROR((INDIRECT(ADDRESS(20,24)) - INDIRECT(ADDRESS(20,3)))/ INDIRECT(ADDRESS(20,3)),1)</f>
        <v>-0.46792781019795282</v>
      </c>
      <c r="AZ20" s="3">
        <f ca="1">INDIRECT(ADDRESS(20,29))</f>
        <v>104818661.77816001</v>
      </c>
      <c r="BA20" s="4">
        <f ca="1">IFERROR(INDIRECT(ADDRESS(20,29)) / INDIRECT(ADDRESS(25,29)),0)</f>
        <v>7.2506742622523601E-2</v>
      </c>
      <c r="BB20" s="4">
        <f ca="1">IFERROR((INDIRECT(ADDRESS(20,29)) - INDIRECT(ADDRESS(20,3)))/ INDIRECT(ADDRESS(20,3)),1)</f>
        <v>-0.49105608759331371</v>
      </c>
      <c r="BC20" s="3">
        <f ca="1">INDIRECT(ADDRESS(20,34))</f>
        <v>103616179.6102751</v>
      </c>
      <c r="BD20" s="4">
        <f ca="1">IFERROR(INDIRECT(ADDRESS(20,34)) / INDIRECT(ADDRESS(25,34)),0)</f>
        <v>7.2866141863480144E-2</v>
      </c>
      <c r="BE20" s="4">
        <f ca="1">IFERROR((INDIRECT(ADDRESS(20,34)) - INDIRECT(ADDRESS(20,3)))/ INDIRECT(ADDRESS(20,3)),1)</f>
        <v>-0.49689470419784404</v>
      </c>
    </row>
    <row r="21" spans="1:57" x14ac:dyDescent="0.25">
      <c r="A21" s="5"/>
      <c r="B21" s="1" t="s">
        <v>24</v>
      </c>
      <c r="C21">
        <v>701026638.59179997</v>
      </c>
      <c r="D21">
        <v>699700696.91180003</v>
      </c>
      <c r="E21">
        <v>699700687.25639999</v>
      </c>
      <c r="F21">
        <v>699700688.61179996</v>
      </c>
      <c r="G21">
        <v>699700686.24449003</v>
      </c>
      <c r="H21">
        <v>699700681.39139998</v>
      </c>
      <c r="I21">
        <v>653171961.0381</v>
      </c>
      <c r="J21">
        <v>652107683.99880004</v>
      </c>
      <c r="K21">
        <v>651074696.35979998</v>
      </c>
      <c r="L21">
        <v>650071683.87580001</v>
      </c>
      <c r="M21">
        <v>649097298.16680002</v>
      </c>
      <c r="N21">
        <v>566783077.30180001</v>
      </c>
      <c r="O21">
        <v>565862450.54279995</v>
      </c>
      <c r="P21">
        <v>564967048.33879995</v>
      </c>
      <c r="Q21">
        <v>564095855.62779999</v>
      </c>
      <c r="R21">
        <v>563247877.11479998</v>
      </c>
      <c r="S21">
        <v>562422239.59080005</v>
      </c>
      <c r="T21">
        <v>561618027.43579996</v>
      </c>
      <c r="U21">
        <v>560834425.49979997</v>
      </c>
      <c r="V21">
        <v>560070680.34979999</v>
      </c>
      <c r="W21">
        <v>559326024.08179998</v>
      </c>
      <c r="X21">
        <v>558599754.48479998</v>
      </c>
      <c r="Y21">
        <v>557891208.41280007</v>
      </c>
      <c r="Z21">
        <v>557199720.93480003</v>
      </c>
      <c r="AA21">
        <v>556524704.36179996</v>
      </c>
      <c r="AB21">
        <v>555865565.14479995</v>
      </c>
      <c r="AC21">
        <v>535424583.93379998</v>
      </c>
      <c r="AD21">
        <v>534795576.75370002</v>
      </c>
      <c r="AE21">
        <v>534180859.82669997</v>
      </c>
      <c r="AF21">
        <v>533579969.92257613</v>
      </c>
      <c r="AG21">
        <v>532992430.56831223</v>
      </c>
      <c r="AH21">
        <v>532417792.20896411</v>
      </c>
      <c r="AK21" s="3" t="str">
        <f ca="1">INDIRECT(ADDRESS(21,2))</f>
        <v>Energy Production</v>
      </c>
      <c r="AL21" s="3">
        <f ca="1">INDIRECT(ADDRESS(21,3))</f>
        <v>701026638.59179997</v>
      </c>
      <c r="AM21" s="4">
        <f ca="1">IFERROR(INDIRECT(ADDRESS(21,3)) / INDIRECT(ADDRESS(25,3)),0)</f>
        <v>0.31996541740050916</v>
      </c>
      <c r="AN21" s="3">
        <f ca="1">INDIRECT(ADDRESS(21,9))</f>
        <v>653171961.0381</v>
      </c>
      <c r="AO21" s="4">
        <f ca="1">IFERROR(INDIRECT(ADDRESS(21,9)) / INDIRECT(ADDRESS(25,9)),0)</f>
        <v>0.3187386561023805</v>
      </c>
      <c r="AP21" s="4">
        <f ca="1">IFERROR((INDIRECT(ADDRESS(21,9)) - INDIRECT(ADDRESS(21,3)))/ INDIRECT(ADDRESS(21,3)),1)</f>
        <v>-6.8263707709922294E-2</v>
      </c>
      <c r="AQ21" s="3">
        <f ca="1">INDIRECT(ADDRESS(21,14))</f>
        <v>566783077.30180001</v>
      </c>
      <c r="AR21" s="4">
        <f ca="1">IFERROR(INDIRECT(ADDRESS(21,14)) / INDIRECT(ADDRESS(25,14)),0)</f>
        <v>0.31573925900740424</v>
      </c>
      <c r="AS21" s="4">
        <f ca="1">IFERROR((INDIRECT(ADDRESS(21,14)) - INDIRECT(ADDRESS(21,3)))/ INDIRECT(ADDRESS(21,3)),1)</f>
        <v>-0.19149566350240863</v>
      </c>
      <c r="AT21" s="3">
        <f ca="1">INDIRECT(ADDRESS(21,19))</f>
        <v>562422239.59080005</v>
      </c>
      <c r="AU21" s="4">
        <f ca="1">IFERROR(INDIRECT(ADDRESS(21,19)) / INDIRECT(ADDRESS(25,19)),0)</f>
        <v>0.34057499189198537</v>
      </c>
      <c r="AV21" s="4">
        <f ca="1">IFERROR((INDIRECT(ADDRESS(21,19)) - INDIRECT(ADDRESS(21,3)))/ INDIRECT(ADDRESS(21,3)),1)</f>
        <v>-0.1977163082981041</v>
      </c>
      <c r="AW21" s="3">
        <f ca="1">INDIRECT(ADDRESS(21,24))</f>
        <v>558599754.48479998</v>
      </c>
      <c r="AX21" s="4">
        <f ca="1">IFERROR(INDIRECT(ADDRESS(21,24)) / INDIRECT(ADDRESS(25,24)),0)</f>
        <v>0.36996725966101746</v>
      </c>
      <c r="AY21" s="4">
        <f ca="1">IFERROR((INDIRECT(ADDRESS(21,24)) - INDIRECT(ADDRESS(21,3)))/ INDIRECT(ADDRESS(21,3)),1)</f>
        <v>-0.20316900423798814</v>
      </c>
      <c r="AZ21" s="3">
        <f ca="1">INDIRECT(ADDRESS(21,29))</f>
        <v>535424583.93379998</v>
      </c>
      <c r="BA21" s="4">
        <f ca="1">IFERROR(INDIRECT(ADDRESS(21,29)) / INDIRECT(ADDRESS(25,29)),0)</f>
        <v>0.37037195326174965</v>
      </c>
      <c r="BB21" s="4">
        <f ca="1">IFERROR((INDIRECT(ADDRESS(21,29)) - INDIRECT(ADDRESS(21,3)))/ INDIRECT(ADDRESS(21,3)),1)</f>
        <v>-0.23622790567653199</v>
      </c>
      <c r="BC21" s="3">
        <f ca="1">INDIRECT(ADDRESS(21,34))</f>
        <v>532417792.20896411</v>
      </c>
      <c r="BD21" s="4">
        <f ca="1">IFERROR(INDIRECT(ADDRESS(21,34)) / INDIRECT(ADDRESS(25,34)),0)</f>
        <v>0.37441286219639908</v>
      </c>
      <c r="BE21" s="4">
        <f ca="1">IFERROR((INDIRECT(ADDRESS(21,34)) - INDIRECT(ADDRESS(21,3)))/ INDIRECT(ADDRESS(21,3)),1)</f>
        <v>-0.24051703187988968</v>
      </c>
    </row>
    <row r="22" spans="1:57" x14ac:dyDescent="0.25">
      <c r="A22" s="5"/>
      <c r="B22" s="1" t="s">
        <v>26</v>
      </c>
      <c r="C22">
        <v>424886232.45700002</v>
      </c>
      <c r="D22">
        <v>424928230.16000003</v>
      </c>
      <c r="E22">
        <v>424928229.66500002</v>
      </c>
      <c r="F22">
        <v>430696172.09500003</v>
      </c>
      <c r="G22">
        <v>435877307.89560002</v>
      </c>
      <c r="H22">
        <v>443106411.449</v>
      </c>
      <c r="I22">
        <v>446388948.71399999</v>
      </c>
      <c r="J22">
        <v>448421941.72799999</v>
      </c>
      <c r="K22">
        <v>450252796.18599999</v>
      </c>
      <c r="L22">
        <v>451900777.21899998</v>
      </c>
      <c r="M22">
        <v>453236778.66100001</v>
      </c>
      <c r="N22">
        <v>453364313.236</v>
      </c>
      <c r="O22">
        <v>456950289.86199999</v>
      </c>
      <c r="P22">
        <v>460271922.08099997</v>
      </c>
      <c r="Q22">
        <v>463370385.32999998</v>
      </c>
      <c r="R22">
        <v>466227474.16799998</v>
      </c>
      <c r="S22">
        <v>469153281.25400001</v>
      </c>
      <c r="T22">
        <v>467622828.73400003</v>
      </c>
      <c r="U22">
        <v>466229760.17000002</v>
      </c>
      <c r="V22">
        <v>464958913.31300002</v>
      </c>
      <c r="W22">
        <v>463752807.22799999</v>
      </c>
      <c r="X22">
        <v>462741251.14700001</v>
      </c>
      <c r="Y22">
        <v>461692286.634</v>
      </c>
      <c r="Z22">
        <v>460713570.91799998</v>
      </c>
      <c r="AA22">
        <v>459791920.82700002</v>
      </c>
      <c r="AB22">
        <v>458902692.81599998</v>
      </c>
      <c r="AC22">
        <v>457349129.38999999</v>
      </c>
      <c r="AD22">
        <v>456390882.17699999</v>
      </c>
      <c r="AE22">
        <v>455463094.06</v>
      </c>
      <c r="AF22">
        <v>454561991.0180952</v>
      </c>
      <c r="AG22">
        <v>453644315.69102961</v>
      </c>
      <c r="AH22">
        <v>452831486.69287968</v>
      </c>
      <c r="AK22" s="3" t="str">
        <f ca="1">INDIRECT(ADDRESS(22,2))</f>
        <v>Industrial</v>
      </c>
      <c r="AL22" s="3">
        <f ca="1">INDIRECT(ADDRESS(22,3))</f>
        <v>424886232.45700002</v>
      </c>
      <c r="AM22" s="4">
        <f ca="1">IFERROR(INDIRECT(ADDRESS(22,3)) / INDIRECT(ADDRESS(25,3)),0)</f>
        <v>0.19392829492032371</v>
      </c>
      <c r="AN22" s="3">
        <f ca="1">INDIRECT(ADDRESS(22,9))</f>
        <v>446388948.71399999</v>
      </c>
      <c r="AO22" s="4">
        <f ca="1">IFERROR(INDIRECT(ADDRESS(22,9)) / INDIRECT(ADDRESS(25,9)),0)</f>
        <v>0.21783147792493107</v>
      </c>
      <c r="AP22" s="4">
        <f ca="1">IFERROR((INDIRECT(ADDRESS(22,9)) - INDIRECT(ADDRESS(22,3)))/ INDIRECT(ADDRESS(22,3)),1)</f>
        <v>5.0608173704889625E-2</v>
      </c>
      <c r="AQ22" s="3">
        <f ca="1">INDIRECT(ADDRESS(22,14))</f>
        <v>453364313.236</v>
      </c>
      <c r="AR22" s="4">
        <f ca="1">IFERROR(INDIRECT(ADDRESS(22,14)) / INDIRECT(ADDRESS(25,14)),0)</f>
        <v>0.2525567859276675</v>
      </c>
      <c r="AS22" s="4">
        <f ca="1">IFERROR((INDIRECT(ADDRESS(22,14)) - INDIRECT(ADDRESS(22,3)))/ INDIRECT(ADDRESS(22,3)),1)</f>
        <v>6.7025190753579114E-2</v>
      </c>
      <c r="AT22" s="3">
        <f ca="1">INDIRECT(ADDRESS(22,19))</f>
        <v>469153281.25400001</v>
      </c>
      <c r="AU22" s="4">
        <f ca="1">IFERROR(INDIRECT(ADDRESS(22,19)) / INDIRECT(ADDRESS(25,19)),0)</f>
        <v>0.28409594022354345</v>
      </c>
      <c r="AV22" s="4">
        <f ca="1">IFERROR((INDIRECT(ADDRESS(22,19)) - INDIRECT(ADDRESS(22,3)))/ INDIRECT(ADDRESS(22,3)),1)</f>
        <v>0.10418565115893694</v>
      </c>
      <c r="AW22" s="3">
        <f ca="1">INDIRECT(ADDRESS(22,24))</f>
        <v>462741251.14700001</v>
      </c>
      <c r="AX22" s="4">
        <f ca="1">IFERROR(INDIRECT(ADDRESS(22,24)) / INDIRECT(ADDRESS(25,24)),0)</f>
        <v>0.30647903305447077</v>
      </c>
      <c r="AY22" s="4">
        <f ca="1">IFERROR((INDIRECT(ADDRESS(22,24)) - INDIRECT(ADDRESS(22,3)))/ INDIRECT(ADDRESS(22,3)),1)</f>
        <v>8.9094481765377181E-2</v>
      </c>
      <c r="AZ22" s="3">
        <f ca="1">INDIRECT(ADDRESS(22,29))</f>
        <v>457349129.38999999</v>
      </c>
      <c r="BA22" s="4">
        <f ca="1">IFERROR(INDIRECT(ADDRESS(22,29)) / INDIRECT(ADDRESS(25,29)),0)</f>
        <v>0.31636442452869945</v>
      </c>
      <c r="BB22" s="4">
        <f ca="1">IFERROR((INDIRECT(ADDRESS(22,29)) - INDIRECT(ADDRESS(22,3)))/ INDIRECT(ADDRESS(22,3)),1)</f>
        <v>7.6403739291047351E-2</v>
      </c>
      <c r="BC22" s="3">
        <f ca="1">INDIRECT(ADDRESS(22,34))</f>
        <v>452831486.69287968</v>
      </c>
      <c r="BD22" s="4">
        <f ca="1">IFERROR(INDIRECT(ADDRESS(22,34)) / INDIRECT(ADDRESS(25,34)),0)</f>
        <v>0.31844528020353619</v>
      </c>
      <c r="BE22" s="4">
        <f ca="1">IFERROR((INDIRECT(ADDRESS(22,34)) - INDIRECT(ADDRESS(22,3)))/ INDIRECT(ADDRESS(22,3)),1)</f>
        <v>6.5771145547079635E-2</v>
      </c>
    </row>
    <row r="23" spans="1:57" x14ac:dyDescent="0.25">
      <c r="A23" s="5"/>
      <c r="B23" s="1" t="s">
        <v>27</v>
      </c>
      <c r="C23">
        <v>259975762.697</v>
      </c>
      <c r="D23">
        <v>260122538.94600001</v>
      </c>
      <c r="E23">
        <v>259206420.296</v>
      </c>
      <c r="F23">
        <v>259120535.037</v>
      </c>
      <c r="G23">
        <v>257612294.34</v>
      </c>
      <c r="H23">
        <v>255461437.81900001</v>
      </c>
      <c r="I23">
        <v>252000878.94999999</v>
      </c>
      <c r="J23">
        <v>247812615.55399999</v>
      </c>
      <c r="K23">
        <v>243059654.95500001</v>
      </c>
      <c r="L23">
        <v>237708932.27200001</v>
      </c>
      <c r="M23">
        <v>231730678.914</v>
      </c>
      <c r="N23">
        <v>224344226.36000001</v>
      </c>
      <c r="O23">
        <v>216412591.683</v>
      </c>
      <c r="P23">
        <v>208101154.102</v>
      </c>
      <c r="Q23">
        <v>199418063.51199999</v>
      </c>
      <c r="R23">
        <v>190425191.38</v>
      </c>
      <c r="S23">
        <v>181446598.296</v>
      </c>
      <c r="T23">
        <v>172164576.37099999</v>
      </c>
      <c r="U23">
        <v>162813931.99399999</v>
      </c>
      <c r="V23">
        <v>153480307.81799999</v>
      </c>
      <c r="W23">
        <v>144602568.06799999</v>
      </c>
      <c r="X23">
        <v>135992413.50999999</v>
      </c>
      <c r="Y23">
        <v>133452595.59100001</v>
      </c>
      <c r="Z23">
        <v>132215765.478</v>
      </c>
      <c r="AA23">
        <v>131120664.414</v>
      </c>
      <c r="AB23">
        <v>130128293.311</v>
      </c>
      <c r="AC23">
        <v>129189435.332</v>
      </c>
      <c r="AD23">
        <v>128224667.02599999</v>
      </c>
      <c r="AE23">
        <v>127313367.78200001</v>
      </c>
      <c r="AF23">
        <v>126436419.08097009</v>
      </c>
      <c r="AG23">
        <v>125701187.916581</v>
      </c>
      <c r="AH23">
        <v>125025027.861902</v>
      </c>
      <c r="AK23" s="3" t="str">
        <f ca="1">INDIRECT(ADDRESS(23,2))</f>
        <v>Residential</v>
      </c>
      <c r="AL23" s="3">
        <f ca="1">INDIRECT(ADDRESS(23,3))</f>
        <v>259975762.697</v>
      </c>
      <c r="AM23" s="4">
        <f ca="1">IFERROR(INDIRECT(ADDRESS(23,3)) / INDIRECT(ADDRESS(25,3)),0)</f>
        <v>0.11865919045880652</v>
      </c>
      <c r="AN23" s="3">
        <f ca="1">INDIRECT(ADDRESS(23,9))</f>
        <v>252000878.94999999</v>
      </c>
      <c r="AO23" s="4">
        <f ca="1">IFERROR(INDIRECT(ADDRESS(23,9)) / INDIRECT(ADDRESS(25,9)),0)</f>
        <v>0.12297285597728896</v>
      </c>
      <c r="AP23" s="4">
        <f ca="1">IFERROR((INDIRECT(ADDRESS(23,9)) - INDIRECT(ADDRESS(23,3)))/ INDIRECT(ADDRESS(23,3)),1)</f>
        <v>-3.0675489377425858E-2</v>
      </c>
      <c r="AQ23" s="3">
        <f ca="1">INDIRECT(ADDRESS(23,14))</f>
        <v>224344226.36000001</v>
      </c>
      <c r="AR23" s="4">
        <f ca="1">IFERROR(INDIRECT(ADDRESS(23,14)) / INDIRECT(ADDRESS(25,14)),0)</f>
        <v>0.12497599633832752</v>
      </c>
      <c r="AS23" s="4">
        <f ca="1">IFERROR((INDIRECT(ADDRESS(23,14)) - INDIRECT(ADDRESS(23,3)))/ INDIRECT(ADDRESS(23,3)),1)</f>
        <v>-0.13705714704846658</v>
      </c>
      <c r="AT23" s="3">
        <f ca="1">INDIRECT(ADDRESS(23,19))</f>
        <v>181446598.296</v>
      </c>
      <c r="AU23" s="4">
        <f ca="1">IFERROR(INDIRECT(ADDRESS(23,19)) / INDIRECT(ADDRESS(25,19)),0)</f>
        <v>0.10987505364021415</v>
      </c>
      <c r="AV23" s="4">
        <f ca="1">IFERROR((INDIRECT(ADDRESS(23,19)) - INDIRECT(ADDRESS(23,3)))/ INDIRECT(ADDRESS(23,3)),1)</f>
        <v>-0.30206340616654026</v>
      </c>
      <c r="AW23" s="3">
        <f ca="1">INDIRECT(ADDRESS(23,24))</f>
        <v>135992413.50999999</v>
      </c>
      <c r="AX23" s="4">
        <f ca="1">IFERROR(INDIRECT(ADDRESS(23,24)) / INDIRECT(ADDRESS(25,24)),0)</f>
        <v>9.0069392542763249E-2</v>
      </c>
      <c r="AY23" s="4">
        <f ca="1">IFERROR((INDIRECT(ADDRESS(23,24)) - INDIRECT(ADDRESS(23,3)))/ INDIRECT(ADDRESS(23,3)),1)</f>
        <v>-0.47690349246711033</v>
      </c>
      <c r="AZ23" s="3">
        <f ca="1">INDIRECT(ADDRESS(23,29))</f>
        <v>129189435.332</v>
      </c>
      <c r="BA23" s="4">
        <f ca="1">IFERROR(INDIRECT(ADDRESS(23,29)) / INDIRECT(ADDRESS(25,29)),0)</f>
        <v>8.9364860972859797E-2</v>
      </c>
      <c r="BB23" s="4">
        <f ca="1">IFERROR((INDIRECT(ADDRESS(23,29)) - INDIRECT(ADDRESS(23,3)))/ INDIRECT(ADDRESS(23,3)),1)</f>
        <v>-0.5030712325188198</v>
      </c>
      <c r="BC23" s="3">
        <f ca="1">INDIRECT(ADDRESS(23,34))</f>
        <v>125025027.861902</v>
      </c>
      <c r="BD23" s="4">
        <f ca="1">IFERROR(INDIRECT(ADDRESS(23,34)) / INDIRECT(ADDRESS(25,34)),0)</f>
        <v>8.7921514293772568E-2</v>
      </c>
      <c r="BE23" s="4">
        <f ca="1">IFERROR((INDIRECT(ADDRESS(23,34)) - INDIRECT(ADDRESS(23,3)))/ INDIRECT(ADDRESS(23,3)),1)</f>
        <v>-0.51908967757268265</v>
      </c>
    </row>
    <row r="24" spans="1:57" x14ac:dyDescent="0.25">
      <c r="A24" s="5"/>
      <c r="B24" s="1" t="s">
        <v>28</v>
      </c>
      <c r="C24">
        <v>590226101.63999999</v>
      </c>
      <c r="D24">
        <v>581576074.03999996</v>
      </c>
      <c r="E24">
        <v>568852497.02999997</v>
      </c>
      <c r="F24">
        <v>552869843.84000003</v>
      </c>
      <c r="G24">
        <v>537901288.13999999</v>
      </c>
      <c r="H24">
        <v>517183600.44</v>
      </c>
      <c r="I24">
        <v>485260075.83999997</v>
      </c>
      <c r="J24">
        <v>461167333.83999997</v>
      </c>
      <c r="K24">
        <v>435711945.83999997</v>
      </c>
      <c r="L24">
        <v>409809891.83999997</v>
      </c>
      <c r="M24">
        <v>384973084.83999997</v>
      </c>
      <c r="N24">
        <v>363516151.83999997</v>
      </c>
      <c r="O24">
        <v>344915845.83999997</v>
      </c>
      <c r="P24">
        <v>328662512.83999997</v>
      </c>
      <c r="Q24">
        <v>313644193.83999997</v>
      </c>
      <c r="R24">
        <v>296863579.83999997</v>
      </c>
      <c r="S24">
        <v>282627639.83999997</v>
      </c>
      <c r="T24">
        <v>272337219.83999997</v>
      </c>
      <c r="U24">
        <v>261941869.84</v>
      </c>
      <c r="V24">
        <v>251902175.84</v>
      </c>
      <c r="W24">
        <v>242574276.84</v>
      </c>
      <c r="X24">
        <v>234070224.84</v>
      </c>
      <c r="Y24">
        <v>228185213.84</v>
      </c>
      <c r="Z24">
        <v>222735087.84</v>
      </c>
      <c r="AA24">
        <v>217860536.84</v>
      </c>
      <c r="AB24">
        <v>213617179.84</v>
      </c>
      <c r="AC24">
        <v>209981367.84</v>
      </c>
      <c r="AD24">
        <v>206937443.84</v>
      </c>
      <c r="AE24">
        <v>204424189.84</v>
      </c>
      <c r="AF24">
        <v>202372777.84</v>
      </c>
      <c r="AG24">
        <v>200688262.03999999</v>
      </c>
      <c r="AH24">
        <v>199239710.03999999</v>
      </c>
      <c r="AK24" s="3" t="str">
        <f ca="1">INDIRECT(ADDRESS(24,2))</f>
        <v>Transportation</v>
      </c>
      <c r="AL24" s="3">
        <f ca="1">INDIRECT(ADDRESS(24,3))</f>
        <v>590226101.63999999</v>
      </c>
      <c r="AM24" s="4">
        <f ca="1">IFERROR(INDIRECT(ADDRESS(24,3)) / INDIRECT(ADDRESS(25,3)),0)</f>
        <v>0.26939338760546633</v>
      </c>
      <c r="AN24" s="3">
        <f ca="1">INDIRECT(ADDRESS(24,9))</f>
        <v>485260075.83999997</v>
      </c>
      <c r="AO24" s="4">
        <f ca="1">IFERROR(INDIRECT(ADDRESS(24,9)) / INDIRECT(ADDRESS(25,9)),0)</f>
        <v>0.23680003683495343</v>
      </c>
      <c r="AP24" s="4">
        <f ca="1">IFERROR((INDIRECT(ADDRESS(24,9)) - INDIRECT(ADDRESS(24,3)))/ INDIRECT(ADDRESS(24,3)),1)</f>
        <v>-0.17784036576549531</v>
      </c>
      <c r="AQ24" s="3">
        <f ca="1">INDIRECT(ADDRESS(24,14))</f>
        <v>363516151.83999997</v>
      </c>
      <c r="AR24" s="4">
        <f ca="1">IFERROR(INDIRECT(ADDRESS(24,14)) / INDIRECT(ADDRESS(25,14)),0)</f>
        <v>0.20250484711996555</v>
      </c>
      <c r="AS24" s="4">
        <f ca="1">IFERROR((INDIRECT(ADDRESS(24,14)) - INDIRECT(ADDRESS(24,3)))/ INDIRECT(ADDRESS(24,3)),1)</f>
        <v>-0.38410695353876184</v>
      </c>
      <c r="AT24" s="3">
        <f ca="1">INDIRECT(ADDRESS(24,19))</f>
        <v>282627639.83999997</v>
      </c>
      <c r="AU24" s="4">
        <f ca="1">IFERROR(INDIRECT(ADDRESS(24,19)) / INDIRECT(ADDRESS(25,19)),0)</f>
        <v>0.17114527017457842</v>
      </c>
      <c r="AV24" s="4">
        <f ca="1">IFERROR((INDIRECT(ADDRESS(24,19)) - INDIRECT(ADDRESS(24,3)))/ INDIRECT(ADDRESS(24,3)),1)</f>
        <v>-0.52115360697418855</v>
      </c>
      <c r="AW24" s="3">
        <f ca="1">INDIRECT(ADDRESS(24,24))</f>
        <v>234070224.84</v>
      </c>
      <c r="AX24" s="4">
        <f ca="1">IFERROR(INDIRECT(ADDRESS(24,24)) / INDIRECT(ADDRESS(25,24)),0)</f>
        <v>0.15502749322216081</v>
      </c>
      <c r="AY24" s="4">
        <f ca="1">IFERROR((INDIRECT(ADDRESS(24,24)) - INDIRECT(ADDRESS(24,3)))/ INDIRECT(ADDRESS(24,3)),1)</f>
        <v>-0.6034227829138471</v>
      </c>
      <c r="AZ24" s="3">
        <f ca="1">INDIRECT(ADDRESS(24,29))</f>
        <v>209981367.84</v>
      </c>
      <c r="BA24" s="4">
        <f ca="1">IFERROR(INDIRECT(ADDRESS(24,29)) / INDIRECT(ADDRESS(25,29)),0)</f>
        <v>0.14525147273605651</v>
      </c>
      <c r="BB24" s="4">
        <f ca="1">IFERROR((INDIRECT(ADDRESS(24,29)) - INDIRECT(ADDRESS(24,3)))/ INDIRECT(ADDRESS(24,3)),1)</f>
        <v>-0.64423571364169319</v>
      </c>
      <c r="BC24" s="3">
        <f ca="1">INDIRECT(ADDRESS(24,34))</f>
        <v>199239710.03999999</v>
      </c>
      <c r="BD24" s="4">
        <f ca="1">IFERROR(INDIRECT(ADDRESS(24,34)) / INDIRECT(ADDRESS(25,34)),0)</f>
        <v>0.14011160256263325</v>
      </c>
      <c r="BE24" s="4">
        <f ca="1">IFERROR((INDIRECT(ADDRESS(24,34)) - INDIRECT(ADDRESS(24,3)))/ INDIRECT(ADDRESS(24,3)),1)</f>
        <v>-0.66243493893883498</v>
      </c>
    </row>
    <row r="25" spans="1:57" x14ac:dyDescent="0.25">
      <c r="A25" s="1" t="s">
        <v>21</v>
      </c>
      <c r="B25" s="1"/>
      <c r="C25">
        <v>2190945022.3937998</v>
      </c>
      <c r="D25">
        <v>2181013091.4938002</v>
      </c>
      <c r="E25">
        <v>2168649074.6283998</v>
      </c>
      <c r="F25">
        <v>2159616601.4717999</v>
      </c>
      <c r="G25">
        <v>2149259973.68575</v>
      </c>
      <c r="H25">
        <v>2129351313.5854001</v>
      </c>
      <c r="I25">
        <v>2049239866.3697</v>
      </c>
      <c r="J25">
        <v>2017342224.2779</v>
      </c>
      <c r="K25">
        <v>1983278938.6368001</v>
      </c>
      <c r="L25">
        <v>1947974959.7467999</v>
      </c>
      <c r="M25">
        <v>1910528538.2958</v>
      </c>
      <c r="N25">
        <v>1795098522.3808</v>
      </c>
      <c r="O25">
        <v>1765010340.2874999</v>
      </c>
      <c r="P25">
        <v>1736590467.7692001</v>
      </c>
      <c r="Q25">
        <v>1708692602.7760999</v>
      </c>
      <c r="R25">
        <v>1677397580.70978</v>
      </c>
      <c r="S25">
        <v>1651390304.5740199</v>
      </c>
      <c r="T25">
        <v>1623283629.40571</v>
      </c>
      <c r="U25">
        <v>1594626269.2135899</v>
      </c>
      <c r="V25">
        <v>1565793868.5339701</v>
      </c>
      <c r="W25">
        <v>1536855111.3914001</v>
      </c>
      <c r="X25">
        <v>1509862670.0011699</v>
      </c>
      <c r="Y25">
        <v>1498233663.5445499</v>
      </c>
      <c r="Z25">
        <v>1488540708.2843699</v>
      </c>
      <c r="AA25">
        <v>1479867890.2606599</v>
      </c>
      <c r="AB25">
        <v>1471947696.4049699</v>
      </c>
      <c r="AC25">
        <v>1445640198.2344601</v>
      </c>
      <c r="AD25">
        <v>1439799924.4507401</v>
      </c>
      <c r="AE25">
        <v>1434590585.3357201</v>
      </c>
      <c r="AF25">
        <v>1429918983.755455</v>
      </c>
      <c r="AG25">
        <v>1425149179.985594</v>
      </c>
      <c r="AH25">
        <v>1422007217.074939</v>
      </c>
    </row>
    <row r="26" spans="1:57" x14ac:dyDescent="0.25">
      <c r="A26" s="5" t="s">
        <v>6</v>
      </c>
      <c r="B26" s="1" t="s">
        <v>22</v>
      </c>
      <c r="C26">
        <v>8877019.4220000003</v>
      </c>
      <c r="D26">
        <v>8877019.4220000003</v>
      </c>
      <c r="E26">
        <v>8877019.4220000003</v>
      </c>
      <c r="F26">
        <v>8877019.4220000003</v>
      </c>
      <c r="G26">
        <v>8877019.5591599997</v>
      </c>
      <c r="H26">
        <v>8877019.7970000003</v>
      </c>
      <c r="I26">
        <v>8877018.9286000002</v>
      </c>
      <c r="J26">
        <v>8877019.2150999997</v>
      </c>
      <c r="K26">
        <v>8877019.3570000008</v>
      </c>
      <c r="L26">
        <v>8877019.5140000004</v>
      </c>
      <c r="M26">
        <v>8877019.8460000008</v>
      </c>
      <c r="N26">
        <v>8877020.0390000008</v>
      </c>
      <c r="O26">
        <v>8877019.2960000001</v>
      </c>
      <c r="P26">
        <v>8877019.3809999991</v>
      </c>
      <c r="Q26">
        <v>8877019.5879999995</v>
      </c>
      <c r="R26">
        <v>8877018.7990000006</v>
      </c>
      <c r="S26">
        <v>8877020.4969999995</v>
      </c>
      <c r="T26">
        <v>8877020.4250000007</v>
      </c>
      <c r="U26">
        <v>8877020.4620000012</v>
      </c>
      <c r="V26">
        <v>8877020.477</v>
      </c>
      <c r="W26">
        <v>8877020.0120000001</v>
      </c>
      <c r="X26">
        <v>8877020.5362</v>
      </c>
      <c r="Y26">
        <v>8877020.6609176919</v>
      </c>
      <c r="Z26">
        <v>8877020.6609176919</v>
      </c>
      <c r="AA26">
        <v>8877020.6609176919</v>
      </c>
      <c r="AB26">
        <v>8877020.6609176919</v>
      </c>
      <c r="AC26">
        <v>8877020.6609176919</v>
      </c>
      <c r="AD26">
        <v>8877020.6609176919</v>
      </c>
      <c r="AE26">
        <v>8877020.6609176919</v>
      </c>
      <c r="AF26">
        <v>8877020.6609176919</v>
      </c>
      <c r="AG26">
        <v>8877020.6609176919</v>
      </c>
      <c r="AH26">
        <v>8877020.6609176919</v>
      </c>
      <c r="AK26" s="3" t="str">
        <f ca="1">INDIRECT(ADDRESS(26,2))</f>
        <v>Agriculture</v>
      </c>
      <c r="AL26" s="3">
        <f ca="1">INDIRECT(ADDRESS(26,3))</f>
        <v>8877019.4220000003</v>
      </c>
      <c r="AM26" s="4">
        <f ca="1">IFERROR(INDIRECT(ADDRESS(26,3)) / INDIRECT(ADDRESS(32,3)),0)</f>
        <v>4.0516851547014524E-3</v>
      </c>
      <c r="AN26" s="3">
        <f ca="1">INDIRECT(ADDRESS(26,9))</f>
        <v>8877018.9286000002</v>
      </c>
      <c r="AO26" s="4">
        <f ca="1">IFERROR(INDIRECT(ADDRESS(26,9)) / INDIRECT(ADDRESS(32,9)),0)</f>
        <v>4.336856244594291E-3</v>
      </c>
      <c r="AP26" s="4">
        <f ca="1">IFERROR((INDIRECT(ADDRESS(26,9)) - INDIRECT(ADDRESS(26,3)))/ INDIRECT(ADDRESS(26,3)),1)</f>
        <v>-5.5581719108664441E-8</v>
      </c>
      <c r="AQ26" s="3">
        <f ca="1">INDIRECT(ADDRESS(26,14))</f>
        <v>8877020.0390000008</v>
      </c>
      <c r="AR26" s="4">
        <f ca="1">IFERROR(INDIRECT(ADDRESS(26,14)) / INDIRECT(ADDRESS(32,14)),0)</f>
        <v>4.9583709610181298E-3</v>
      </c>
      <c r="AS26" s="4">
        <f ca="1">IFERROR((INDIRECT(ADDRESS(26,14)) - INDIRECT(ADDRESS(26,3)))/ INDIRECT(ADDRESS(26,3)),1)</f>
        <v>6.9505311548854575E-8</v>
      </c>
      <c r="AT26" s="3">
        <f ca="1">INDIRECT(ADDRESS(26,19))</f>
        <v>8877020.4969999995</v>
      </c>
      <c r="AU26" s="4">
        <f ca="1">IFERROR(INDIRECT(ADDRESS(26,19)) / INDIRECT(ADDRESS(32,19)),0)</f>
        <v>5.4050692314806491E-3</v>
      </c>
      <c r="AV26" s="4">
        <f ca="1">IFERROR((INDIRECT(ADDRESS(26,19)) - INDIRECT(ADDRESS(26,3)))/ INDIRECT(ADDRESS(26,3)),1)</f>
        <v>1.2109920550480709E-7</v>
      </c>
      <c r="AW26" s="3">
        <f ca="1">INDIRECT(ADDRESS(26,24))</f>
        <v>8877020.5362</v>
      </c>
      <c r="AX26" s="4">
        <f ca="1">IFERROR(INDIRECT(ADDRESS(26,24)) / INDIRECT(ADDRESS(32,24)),0)</f>
        <v>5.9191080608502191E-3</v>
      </c>
      <c r="AY26" s="4">
        <f ca="1">IFERROR((INDIRECT(ADDRESS(26,24)) - INDIRECT(ADDRESS(26,3)))/ INDIRECT(ADDRESS(26,3)),1)</f>
        <v>1.2551510217027641E-7</v>
      </c>
      <c r="AZ26" s="3">
        <f ca="1">INDIRECT(ADDRESS(26,29))</f>
        <v>8877020.6609176919</v>
      </c>
      <c r="BA26" s="4">
        <f ca="1">IFERROR(INDIRECT(ADDRESS(26,29)) / INDIRECT(ADDRESS(32,29)),0)</f>
        <v>6.1756174254982005E-3</v>
      </c>
      <c r="BB26" s="4">
        <f ca="1">IFERROR((INDIRECT(ADDRESS(26,29)) - INDIRECT(ADDRESS(26,3)))/ INDIRECT(ADDRESS(26,3)),1)</f>
        <v>1.3956460302009523E-7</v>
      </c>
      <c r="BC26" s="3">
        <f ca="1">INDIRECT(ADDRESS(26,34))</f>
        <v>8877020.6609176919</v>
      </c>
      <c r="BD26" s="4">
        <f ca="1">IFERROR(INDIRECT(ADDRESS(26,34)) / INDIRECT(ADDRESS(32,34)),0)</f>
        <v>6.2764463356563393E-3</v>
      </c>
      <c r="BE26" s="4">
        <f ca="1">IFERROR((INDIRECT(ADDRESS(26,34)) - INDIRECT(ADDRESS(26,3)))/ INDIRECT(ADDRESS(26,3)),1)</f>
        <v>1.3956460302009523E-7</v>
      </c>
    </row>
    <row r="27" spans="1:57" x14ac:dyDescent="0.25">
      <c r="A27" s="5"/>
      <c r="B27" s="1" t="s">
        <v>23</v>
      </c>
      <c r="C27">
        <v>205953267.586</v>
      </c>
      <c r="D27">
        <v>205808532.014</v>
      </c>
      <c r="E27">
        <v>207084220.95899999</v>
      </c>
      <c r="F27">
        <v>208352342.46599999</v>
      </c>
      <c r="G27">
        <v>209265450.20089999</v>
      </c>
      <c r="H27">
        <v>204992609.801</v>
      </c>
      <c r="I27">
        <v>203508482.109</v>
      </c>
      <c r="J27">
        <v>198920845.31900001</v>
      </c>
      <c r="K27">
        <v>194265897.088</v>
      </c>
      <c r="L27">
        <v>189567659.93599999</v>
      </c>
      <c r="M27">
        <v>182011442.51899999</v>
      </c>
      <c r="N27">
        <v>176954415.69400001</v>
      </c>
      <c r="O27">
        <v>169968076.23249999</v>
      </c>
      <c r="P27">
        <v>162868011.6672</v>
      </c>
      <c r="Q27">
        <v>155608239.0332</v>
      </c>
      <c r="R27">
        <v>147255377.44365001</v>
      </c>
      <c r="S27">
        <v>141848845.89862999</v>
      </c>
      <c r="T27">
        <v>135234724.91060999</v>
      </c>
      <c r="U27">
        <v>128219062.08792999</v>
      </c>
      <c r="V27">
        <v>120683350.72036999</v>
      </c>
      <c r="W27">
        <v>111970259.94104999</v>
      </c>
      <c r="X27">
        <v>104030171.44216999</v>
      </c>
      <c r="Y27">
        <v>102789931.0847265</v>
      </c>
      <c r="Z27">
        <v>101671203.8104091</v>
      </c>
      <c r="AA27">
        <v>100803700.93283211</v>
      </c>
      <c r="AB27">
        <v>99847705.924295068</v>
      </c>
      <c r="AC27">
        <v>100173753.68018959</v>
      </c>
      <c r="AD27">
        <v>100009675.0812573</v>
      </c>
      <c r="AE27">
        <v>99847195.707040831</v>
      </c>
      <c r="AF27">
        <v>99685379.237477183</v>
      </c>
      <c r="AG27">
        <v>98937198.041530237</v>
      </c>
      <c r="AH27">
        <v>99367934.795412228</v>
      </c>
      <c r="AK27" s="3" t="str">
        <f ca="1">INDIRECT(ADDRESS(27,2))</f>
        <v>Commercial</v>
      </c>
      <c r="AL27" s="3">
        <f ca="1">INDIRECT(ADDRESS(27,3))</f>
        <v>205953267.586</v>
      </c>
      <c r="AM27" s="4">
        <f ca="1">IFERROR(INDIRECT(ADDRESS(27,3)) / INDIRECT(ADDRESS(32,3)),0)</f>
        <v>9.4002024460192971E-2</v>
      </c>
      <c r="AN27" s="3">
        <f ca="1">INDIRECT(ADDRESS(27,9))</f>
        <v>203508482.109</v>
      </c>
      <c r="AO27" s="4">
        <f ca="1">IFERROR(INDIRECT(ADDRESS(27,9)) / INDIRECT(ADDRESS(32,9)),0)</f>
        <v>9.9423808663829827E-2</v>
      </c>
      <c r="AP27" s="4">
        <f ca="1">IFERROR((INDIRECT(ADDRESS(27,9)) - INDIRECT(ADDRESS(27,3)))/ INDIRECT(ADDRESS(27,3)),1)</f>
        <v>-1.1870583582652448E-2</v>
      </c>
      <c r="AQ27" s="3">
        <f ca="1">INDIRECT(ADDRESS(27,14))</f>
        <v>176954415.69400001</v>
      </c>
      <c r="AR27" s="4">
        <f ca="1">IFERROR(INDIRECT(ADDRESS(27,14)) / INDIRECT(ADDRESS(32,14)),0)</f>
        <v>9.8840109895696526E-2</v>
      </c>
      <c r="AS27" s="4">
        <f ca="1">IFERROR((INDIRECT(ADDRESS(27,14)) - INDIRECT(ADDRESS(27,3)))/ INDIRECT(ADDRESS(27,3)),1)</f>
        <v>-0.14080306776337465</v>
      </c>
      <c r="AT27" s="3">
        <f ca="1">INDIRECT(ADDRESS(27,19))</f>
        <v>141848845.89862999</v>
      </c>
      <c r="AU27" s="4">
        <f ca="1">IFERROR(INDIRECT(ADDRESS(27,19)) / INDIRECT(ADDRESS(32,19)),0)</f>
        <v>8.6369388551804441E-2</v>
      </c>
      <c r="AV27" s="4">
        <f ca="1">IFERROR((INDIRECT(ADDRESS(27,19)) - INDIRECT(ADDRESS(27,3)))/ INDIRECT(ADDRESS(27,3)),1)</f>
        <v>-0.31125712370939629</v>
      </c>
      <c r="AW27" s="3">
        <f ca="1">INDIRECT(ADDRESS(27,24))</f>
        <v>104030171.44216999</v>
      </c>
      <c r="AX27" s="4">
        <f ca="1">IFERROR(INDIRECT(ADDRESS(27,24)) / INDIRECT(ADDRESS(32,24)),0)</f>
        <v>6.9366272596072032E-2</v>
      </c>
      <c r="AY27" s="4">
        <f ca="1">IFERROR((INDIRECT(ADDRESS(27,24)) - INDIRECT(ADDRESS(27,3)))/ INDIRECT(ADDRESS(27,3)),1)</f>
        <v>-0.49488457910127565</v>
      </c>
      <c r="AZ27" s="3">
        <f ca="1">INDIRECT(ADDRESS(27,29))</f>
        <v>100173753.68018959</v>
      </c>
      <c r="BA27" s="4">
        <f ca="1">IFERROR(INDIRECT(ADDRESS(27,29)) / INDIRECT(ADDRESS(32,29)),0)</f>
        <v>6.9689460285765503E-2</v>
      </c>
      <c r="BB27" s="4">
        <f ca="1">IFERROR((INDIRECT(ADDRESS(27,29)) - INDIRECT(ADDRESS(27,3)))/ INDIRECT(ADDRESS(27,3)),1)</f>
        <v>-0.51360930149670969</v>
      </c>
      <c r="BC27" s="3">
        <f ca="1">INDIRECT(ADDRESS(27,34))</f>
        <v>99367934.795412228</v>
      </c>
      <c r="BD27" s="4">
        <f ca="1">IFERROR(INDIRECT(ADDRESS(27,34)) / INDIRECT(ADDRESS(32,34)),0)</f>
        <v>7.0257526038463497E-2</v>
      </c>
      <c r="BE27" s="4">
        <f ca="1">IFERROR((INDIRECT(ADDRESS(27,34)) - INDIRECT(ADDRESS(27,3)))/ INDIRECT(ADDRESS(27,3)),1)</f>
        <v>-0.51752193126084234</v>
      </c>
    </row>
    <row r="28" spans="1:57" x14ac:dyDescent="0.25">
      <c r="A28" s="5"/>
      <c r="B28" s="1" t="s">
        <v>24</v>
      </c>
      <c r="C28">
        <v>701026638.59179997</v>
      </c>
      <c r="D28">
        <v>699700696.91180003</v>
      </c>
      <c r="E28">
        <v>699700687.25639999</v>
      </c>
      <c r="F28">
        <v>699700688.61179996</v>
      </c>
      <c r="G28">
        <v>698783868.09449005</v>
      </c>
      <c r="H28">
        <v>697846037.30690002</v>
      </c>
      <c r="I28">
        <v>650397967.61259997</v>
      </c>
      <c r="J28">
        <v>648401020.4138</v>
      </c>
      <c r="K28">
        <v>646435500.84879994</v>
      </c>
      <c r="L28">
        <v>644500063.3118</v>
      </c>
      <c r="M28">
        <v>642593124.48580003</v>
      </c>
      <c r="N28">
        <v>559415538.11479998</v>
      </c>
      <c r="O28">
        <v>557570754.98080003</v>
      </c>
      <c r="P28">
        <v>555751049.80879998</v>
      </c>
      <c r="Q28">
        <v>553955169.83280003</v>
      </c>
      <c r="R28">
        <v>552182232.19580007</v>
      </c>
      <c r="S28">
        <v>550431099.84679997</v>
      </c>
      <c r="T28">
        <v>549626778.78380001</v>
      </c>
      <c r="U28">
        <v>548843290.77279997</v>
      </c>
      <c r="V28">
        <v>548079438.54579997</v>
      </c>
      <c r="W28">
        <v>547334910.39980006</v>
      </c>
      <c r="X28">
        <v>546608514.88069999</v>
      </c>
      <c r="Y28">
        <v>545900082.15601766</v>
      </c>
      <c r="Z28">
        <v>545208479.54282272</v>
      </c>
      <c r="AA28">
        <v>544533571.54677522</v>
      </c>
      <c r="AB28">
        <v>543874434.78186989</v>
      </c>
      <c r="AC28">
        <v>523465330.02210212</v>
      </c>
      <c r="AD28">
        <v>522836324.68046677</v>
      </c>
      <c r="AE28">
        <v>522221728.43695951</v>
      </c>
      <c r="AF28">
        <v>521620724.22257608</v>
      </c>
      <c r="AG28">
        <v>521033175.9683122</v>
      </c>
      <c r="AH28">
        <v>520458657.60896409</v>
      </c>
      <c r="AK28" s="3" t="str">
        <f ca="1">INDIRECT(ADDRESS(28,2))</f>
        <v>Energy Production</v>
      </c>
      <c r="AL28" s="3">
        <f ca="1">INDIRECT(ADDRESS(28,3))</f>
        <v>701026638.59179997</v>
      </c>
      <c r="AM28" s="4">
        <f ca="1">IFERROR(INDIRECT(ADDRESS(28,3)) / INDIRECT(ADDRESS(32,3)),0)</f>
        <v>0.31996541740050916</v>
      </c>
      <c r="AN28" s="3">
        <f ca="1">INDIRECT(ADDRESS(28,9))</f>
        <v>650397967.61259997</v>
      </c>
      <c r="AO28" s="4">
        <f ca="1">IFERROR(INDIRECT(ADDRESS(28,9)) / INDIRECT(ADDRESS(32,9)),0)</f>
        <v>0.31775109527191137</v>
      </c>
      <c r="AP28" s="4">
        <f ca="1">IFERROR((INDIRECT(ADDRESS(28,9)) - INDIRECT(ADDRESS(28,3)))/ INDIRECT(ADDRESS(28,3)),1)</f>
        <v>-7.2220751954449644E-2</v>
      </c>
      <c r="AQ28" s="3">
        <f ca="1">INDIRECT(ADDRESS(28,14))</f>
        <v>559415538.11479998</v>
      </c>
      <c r="AR28" s="4">
        <f ca="1">IFERROR(INDIRECT(ADDRESS(28,14)) / INDIRECT(ADDRESS(32,14)),0)</f>
        <v>0.31246857021212976</v>
      </c>
      <c r="AS28" s="4">
        <f ca="1">IFERROR((INDIRECT(ADDRESS(28,14)) - INDIRECT(ADDRESS(28,3)))/ INDIRECT(ADDRESS(28,3)),1)</f>
        <v>-0.20200530576336426</v>
      </c>
      <c r="AT28" s="3">
        <f ca="1">INDIRECT(ADDRESS(28,19))</f>
        <v>550431099.84679997</v>
      </c>
      <c r="AU28" s="4">
        <f ca="1">IFERROR(INDIRECT(ADDRESS(28,19)) / INDIRECT(ADDRESS(32,19)),0)</f>
        <v>0.33514828571562233</v>
      </c>
      <c r="AV28" s="4">
        <f ca="1">IFERROR((INDIRECT(ADDRESS(28,19)) - INDIRECT(ADDRESS(28,3)))/ INDIRECT(ADDRESS(28,3)),1)</f>
        <v>-0.21482142111961899</v>
      </c>
      <c r="AW28" s="3">
        <f ca="1">INDIRECT(ADDRESS(28,24))</f>
        <v>546608514.88069999</v>
      </c>
      <c r="AX28" s="4">
        <f ca="1">IFERROR(INDIRECT(ADDRESS(28,24)) / INDIRECT(ADDRESS(32,24)),0)</f>
        <v>0.36447306315962585</v>
      </c>
      <c r="AY28" s="4">
        <f ca="1">IFERROR((INDIRECT(ADDRESS(28,24)) - INDIRECT(ADDRESS(28,3)))/ INDIRECT(ADDRESS(28,3)),1)</f>
        <v>-0.22027425950787005</v>
      </c>
      <c r="AZ28" s="3">
        <f ca="1">INDIRECT(ADDRESS(28,29))</f>
        <v>523465330.02210212</v>
      </c>
      <c r="BA28" s="4">
        <f ca="1">IFERROR(INDIRECT(ADDRESS(28,29)) / INDIRECT(ADDRESS(32,29)),0)</f>
        <v>0.36416740900031502</v>
      </c>
      <c r="BB28" s="4">
        <f ca="1">IFERROR((INDIRECT(ADDRESS(28,29)) - INDIRECT(ADDRESS(28,3)))/ INDIRECT(ADDRESS(28,3)),1)</f>
        <v>-0.25328753401779047</v>
      </c>
      <c r="BC28" s="3">
        <f ca="1">INDIRECT(ADDRESS(28,34))</f>
        <v>520458657.60896409</v>
      </c>
      <c r="BD28" s="4">
        <f ca="1">IFERROR(INDIRECT(ADDRESS(28,34)) / INDIRECT(ADDRESS(32,34)),0)</f>
        <v>0.36798729654783757</v>
      </c>
      <c r="BE28" s="4">
        <f ca="1">IFERROR((INDIRECT(ADDRESS(28,34)) - INDIRECT(ADDRESS(28,3)))/ INDIRECT(ADDRESS(28,3)),1)</f>
        <v>-0.25757649002547905</v>
      </c>
    </row>
    <row r="29" spans="1:57" x14ac:dyDescent="0.25">
      <c r="A29" s="5"/>
      <c r="B29" s="1" t="s">
        <v>26</v>
      </c>
      <c r="C29">
        <v>424886232.45700002</v>
      </c>
      <c r="D29">
        <v>424928230.16000003</v>
      </c>
      <c r="E29">
        <v>424928229.66500002</v>
      </c>
      <c r="F29">
        <v>430696172.09500003</v>
      </c>
      <c r="G29">
        <v>435805151.76160002</v>
      </c>
      <c r="H29">
        <v>442960214.26700002</v>
      </c>
      <c r="I29">
        <v>446148234.222</v>
      </c>
      <c r="J29">
        <v>448098108.33600003</v>
      </c>
      <c r="K29">
        <v>449843483.28899997</v>
      </c>
      <c r="L29">
        <v>451402600.68400002</v>
      </c>
      <c r="M29">
        <v>452565753.96200001</v>
      </c>
      <c r="N29">
        <v>452421011.76099998</v>
      </c>
      <c r="O29">
        <v>455767498.90100002</v>
      </c>
      <c r="P29">
        <v>458826458.69300002</v>
      </c>
      <c r="Q29">
        <v>461644327.96700001</v>
      </c>
      <c r="R29">
        <v>464217343.64300001</v>
      </c>
      <c r="S29">
        <v>466846292.14099997</v>
      </c>
      <c r="T29">
        <v>465224038.75400001</v>
      </c>
      <c r="U29">
        <v>463765205.009</v>
      </c>
      <c r="V29">
        <v>462460477.43699998</v>
      </c>
      <c r="W29">
        <v>461266524.57599998</v>
      </c>
      <c r="X29">
        <v>460264077.52899998</v>
      </c>
      <c r="Y29">
        <v>459232066.08210838</v>
      </c>
      <c r="Z29">
        <v>458273806.45535809</v>
      </c>
      <c r="AA29">
        <v>457377957.24171352</v>
      </c>
      <c r="AB29">
        <v>456522329.52113539</v>
      </c>
      <c r="AC29">
        <v>454922449.00999868</v>
      </c>
      <c r="AD29">
        <v>453969155.69299239</v>
      </c>
      <c r="AE29">
        <v>453047365.37800032</v>
      </c>
      <c r="AF29">
        <v>452153287.77698779</v>
      </c>
      <c r="AG29">
        <v>451262625.1679222</v>
      </c>
      <c r="AH29">
        <v>450439372.56277227</v>
      </c>
      <c r="AK29" s="3" t="str">
        <f ca="1">INDIRECT(ADDRESS(29,2))</f>
        <v>Industrial</v>
      </c>
      <c r="AL29" s="3">
        <f ca="1">INDIRECT(ADDRESS(29,3))</f>
        <v>424886232.45700002</v>
      </c>
      <c r="AM29" s="4">
        <f ca="1">IFERROR(INDIRECT(ADDRESS(29,3)) / INDIRECT(ADDRESS(32,3)),0)</f>
        <v>0.19392829492032371</v>
      </c>
      <c r="AN29" s="3">
        <f ca="1">INDIRECT(ADDRESS(29,9))</f>
        <v>446148234.222</v>
      </c>
      <c r="AO29" s="4">
        <f ca="1">IFERROR(INDIRECT(ADDRESS(29,9)) / INDIRECT(ADDRESS(32,9)),0)</f>
        <v>0.217965149242455</v>
      </c>
      <c r="AP29" s="4">
        <f ca="1">IFERROR((INDIRECT(ADDRESS(29,9)) - INDIRECT(ADDRESS(29,3)))/ INDIRECT(ADDRESS(29,3)),1)</f>
        <v>5.0041635009088641E-2</v>
      </c>
      <c r="AQ29" s="3">
        <f ca="1">INDIRECT(ADDRESS(29,14))</f>
        <v>452421011.76099998</v>
      </c>
      <c r="AR29" s="4">
        <f ca="1">IFERROR(INDIRECT(ADDRESS(29,14)) / INDIRECT(ADDRESS(32,14)),0)</f>
        <v>0.2527054345956945</v>
      </c>
      <c r="AS29" s="4">
        <f ca="1">IFERROR((INDIRECT(ADDRESS(29,14)) - INDIRECT(ADDRESS(29,3)))/ INDIRECT(ADDRESS(29,3)),1)</f>
        <v>6.480506356907334E-2</v>
      </c>
      <c r="AT29" s="3">
        <f ca="1">INDIRECT(ADDRESS(29,19))</f>
        <v>466846292.14099997</v>
      </c>
      <c r="AU29" s="4">
        <f ca="1">IFERROR(INDIRECT(ADDRESS(29,19)) / INDIRECT(ADDRESS(32,19)),0)</f>
        <v>0.28425489502191759</v>
      </c>
      <c r="AV29" s="4">
        <f ca="1">IFERROR((INDIRECT(ADDRESS(29,19)) - INDIRECT(ADDRESS(29,3)))/ INDIRECT(ADDRESS(29,3)),1)</f>
        <v>9.875598802379755E-2</v>
      </c>
      <c r="AW29" s="3">
        <f ca="1">INDIRECT(ADDRESS(29,24))</f>
        <v>460264077.52899998</v>
      </c>
      <c r="AX29" s="4">
        <f ca="1">IFERROR(INDIRECT(ADDRESS(29,24)) / INDIRECT(ADDRESS(32,24)),0)</f>
        <v>0.30689946027633186</v>
      </c>
      <c r="AY29" s="4">
        <f ca="1">IFERROR((INDIRECT(ADDRESS(29,24)) - INDIRECT(ADDRESS(29,3)))/ INDIRECT(ADDRESS(29,3)),1)</f>
        <v>8.3264277280578461E-2</v>
      </c>
      <c r="AZ29" s="3">
        <f ca="1">INDIRECT(ADDRESS(29,29))</f>
        <v>454922449.00999868</v>
      </c>
      <c r="BA29" s="4">
        <f ca="1">IFERROR(INDIRECT(ADDRESS(29,29)) / INDIRECT(ADDRESS(32,29)),0)</f>
        <v>0.31648309840320121</v>
      </c>
      <c r="BB29" s="4">
        <f ca="1">IFERROR((INDIRECT(ADDRESS(29,29)) - INDIRECT(ADDRESS(29,3)))/ INDIRECT(ADDRESS(29,3)),1)</f>
        <v>7.0692374236998687E-2</v>
      </c>
      <c r="BC29" s="3">
        <f ca="1">INDIRECT(ADDRESS(29,34))</f>
        <v>450439372.56277227</v>
      </c>
      <c r="BD29" s="4">
        <f ca="1">IFERROR(INDIRECT(ADDRESS(29,34)) / INDIRECT(ADDRESS(32,34)),0)</f>
        <v>0.31848056429607158</v>
      </c>
      <c r="BE29" s="4">
        <f ca="1">IFERROR((INDIRECT(ADDRESS(29,34)) - INDIRECT(ADDRESS(29,3)))/ INDIRECT(ADDRESS(29,3)),1)</f>
        <v>6.0141134623274299E-2</v>
      </c>
    </row>
    <row r="30" spans="1:57" x14ac:dyDescent="0.25">
      <c r="A30" s="5"/>
      <c r="B30" s="1" t="s">
        <v>27</v>
      </c>
      <c r="C30">
        <v>259975762.697</v>
      </c>
      <c r="D30">
        <v>260122538.94600001</v>
      </c>
      <c r="E30">
        <v>259206420.296</v>
      </c>
      <c r="F30">
        <v>259120535.037</v>
      </c>
      <c r="G30">
        <v>257612290.74000001</v>
      </c>
      <c r="H30">
        <v>255716257.28</v>
      </c>
      <c r="I30">
        <v>252686980.44999999</v>
      </c>
      <c r="J30">
        <v>249039880.12</v>
      </c>
      <c r="K30">
        <v>244926428.30000001</v>
      </c>
      <c r="L30">
        <v>240351775.40000001</v>
      </c>
      <c r="M30">
        <v>235345518.90000001</v>
      </c>
      <c r="N30">
        <v>229125645.5</v>
      </c>
      <c r="O30">
        <v>222474747.40000001</v>
      </c>
      <c r="P30">
        <v>215448720</v>
      </c>
      <c r="Q30">
        <v>207943032.30000001</v>
      </c>
      <c r="R30">
        <v>199938932.5</v>
      </c>
      <c r="S30">
        <v>191720035.09999999</v>
      </c>
      <c r="T30">
        <v>182908520.30000001</v>
      </c>
      <c r="U30">
        <v>173726939.80000001</v>
      </c>
      <c r="V30">
        <v>164263698.30000001</v>
      </c>
      <c r="W30">
        <v>155034286.77000001</v>
      </c>
      <c r="X30">
        <v>145872649.27900001</v>
      </c>
      <c r="Y30">
        <v>143483519.64073521</v>
      </c>
      <c r="Z30">
        <v>142503694.92359379</v>
      </c>
      <c r="AA30">
        <v>141622681.99207401</v>
      </c>
      <c r="AB30">
        <v>140808033.0748015</v>
      </c>
      <c r="AC30">
        <v>140010549.18248081</v>
      </c>
      <c r="AD30">
        <v>139141472.20102689</v>
      </c>
      <c r="AE30">
        <v>138284042.93464881</v>
      </c>
      <c r="AF30">
        <v>137420318.41583201</v>
      </c>
      <c r="AG30">
        <v>136672716.54682699</v>
      </c>
      <c r="AH30">
        <v>135955958.11561209</v>
      </c>
      <c r="AK30" s="3" t="str">
        <f ca="1">INDIRECT(ADDRESS(30,2))</f>
        <v>Residential</v>
      </c>
      <c r="AL30" s="3">
        <f ca="1">INDIRECT(ADDRESS(30,3))</f>
        <v>259975762.697</v>
      </c>
      <c r="AM30" s="4">
        <f ca="1">IFERROR(INDIRECT(ADDRESS(30,3)) / INDIRECT(ADDRESS(32,3)),0)</f>
        <v>0.11865919045880652</v>
      </c>
      <c r="AN30" s="3">
        <f ca="1">INDIRECT(ADDRESS(30,9))</f>
        <v>252686980.44999999</v>
      </c>
      <c r="AO30" s="4">
        <f ca="1">IFERROR(INDIRECT(ADDRESS(30,9)) / INDIRECT(ADDRESS(32,9)),0)</f>
        <v>0.12344990113309218</v>
      </c>
      <c r="AP30" s="4">
        <f ca="1">IFERROR((INDIRECT(ADDRESS(30,9)) - INDIRECT(ADDRESS(30,3)))/ INDIRECT(ADDRESS(30,3)),1)</f>
        <v>-2.8036391436593401E-2</v>
      </c>
      <c r="AQ30" s="3">
        <f ca="1">INDIRECT(ADDRESS(30,14))</f>
        <v>229125645.5</v>
      </c>
      <c r="AR30" s="4">
        <f ca="1">IFERROR(INDIRECT(ADDRESS(30,14)) / INDIRECT(ADDRESS(32,14)),0)</f>
        <v>0.12798100512114144</v>
      </c>
      <c r="AS30" s="4">
        <f ca="1">IFERROR((INDIRECT(ADDRESS(30,14)) - INDIRECT(ADDRESS(30,3)))/ INDIRECT(ADDRESS(30,3)),1)</f>
        <v>-0.11866535894330889</v>
      </c>
      <c r="AT30" s="3">
        <f ca="1">INDIRECT(ADDRESS(30,19))</f>
        <v>191720035.09999999</v>
      </c>
      <c r="AU30" s="4">
        <f ca="1">IFERROR(INDIRECT(ADDRESS(30,19)) / INDIRECT(ADDRESS(32,19)),0)</f>
        <v>0.11673512110596179</v>
      </c>
      <c r="AV30" s="4">
        <f ca="1">IFERROR((INDIRECT(ADDRESS(30,19)) - INDIRECT(ADDRESS(30,3)))/ INDIRECT(ADDRESS(30,3)),1)</f>
        <v>-0.26254650390833395</v>
      </c>
      <c r="AW30" s="3">
        <f ca="1">INDIRECT(ADDRESS(30,24))</f>
        <v>145872649.27900001</v>
      </c>
      <c r="AX30" s="4">
        <f ca="1">IFERROR(INDIRECT(ADDRESS(30,24)) / INDIRECT(ADDRESS(32,24)),0)</f>
        <v>9.7266416212946863E-2</v>
      </c>
      <c r="AY30" s="4">
        <f ca="1">IFERROR((INDIRECT(ADDRESS(30,24)) - INDIRECT(ADDRESS(30,3)))/ INDIRECT(ADDRESS(30,3)),1)</f>
        <v>-0.43889904287341736</v>
      </c>
      <c r="AZ30" s="3">
        <f ca="1">INDIRECT(ADDRESS(30,29))</f>
        <v>140010549.18248081</v>
      </c>
      <c r="BA30" s="4">
        <f ca="1">IFERROR(INDIRECT(ADDRESS(30,29)) / INDIRECT(ADDRESS(32,29)),0)</f>
        <v>9.7403354155933097E-2</v>
      </c>
      <c r="BB30" s="4">
        <f ca="1">IFERROR((INDIRECT(ADDRESS(30,29)) - INDIRECT(ADDRESS(30,3)))/ INDIRECT(ADDRESS(30,3)),1)</f>
        <v>-0.46144768369941408</v>
      </c>
      <c r="BC30" s="3">
        <f ca="1">INDIRECT(ADDRESS(30,34))</f>
        <v>135955958.11561209</v>
      </c>
      <c r="BD30" s="4">
        <f ca="1">IFERROR(INDIRECT(ADDRESS(30,34)) / INDIRECT(ADDRESS(32,34)),0)</f>
        <v>9.612687721706456E-2</v>
      </c>
      <c r="BE30" s="4">
        <f ca="1">IFERROR((INDIRECT(ADDRESS(30,34)) - INDIRECT(ADDRESS(30,3)))/ INDIRECT(ADDRESS(30,3)),1)</f>
        <v>-0.47704371859438355</v>
      </c>
    </row>
    <row r="31" spans="1:57" x14ac:dyDescent="0.25">
      <c r="A31" s="5"/>
      <c r="B31" s="1" t="s">
        <v>28</v>
      </c>
      <c r="C31">
        <v>590226101.63999999</v>
      </c>
      <c r="D31">
        <v>581576074.03999996</v>
      </c>
      <c r="E31">
        <v>568852497.02999997</v>
      </c>
      <c r="F31">
        <v>552869843.84000003</v>
      </c>
      <c r="G31">
        <v>537901288.13999999</v>
      </c>
      <c r="H31">
        <v>517183600.44</v>
      </c>
      <c r="I31">
        <v>485260075.83999997</v>
      </c>
      <c r="J31">
        <v>461167333.83999997</v>
      </c>
      <c r="K31">
        <v>435711945.83999997</v>
      </c>
      <c r="L31">
        <v>409809891.83999997</v>
      </c>
      <c r="M31">
        <v>384973084.83999997</v>
      </c>
      <c r="N31">
        <v>363516151.83999997</v>
      </c>
      <c r="O31">
        <v>344915845.83999997</v>
      </c>
      <c r="P31">
        <v>328662512.83999997</v>
      </c>
      <c r="Q31">
        <v>313644193.83999997</v>
      </c>
      <c r="R31">
        <v>296863569.83999997</v>
      </c>
      <c r="S31">
        <v>282627639.83999997</v>
      </c>
      <c r="T31">
        <v>272337219.83999997</v>
      </c>
      <c r="U31">
        <v>261941869.84</v>
      </c>
      <c r="V31">
        <v>251902175.84</v>
      </c>
      <c r="W31">
        <v>242574276.84</v>
      </c>
      <c r="X31">
        <v>234070234.84</v>
      </c>
      <c r="Y31">
        <v>228185213.84</v>
      </c>
      <c r="Z31">
        <v>222735087.84</v>
      </c>
      <c r="AA31">
        <v>217860536.84</v>
      </c>
      <c r="AB31">
        <v>213617169.84</v>
      </c>
      <c r="AC31">
        <v>209981367.84</v>
      </c>
      <c r="AD31">
        <v>206937443.84</v>
      </c>
      <c r="AE31">
        <v>204424189.84</v>
      </c>
      <c r="AF31">
        <v>202372777.84</v>
      </c>
      <c r="AG31">
        <v>200688262.03999999</v>
      </c>
      <c r="AH31">
        <v>199239710.03999999</v>
      </c>
      <c r="AK31" s="3" t="str">
        <f ca="1">INDIRECT(ADDRESS(31,2))</f>
        <v>Transportation</v>
      </c>
      <c r="AL31" s="3">
        <f ca="1">INDIRECT(ADDRESS(31,3))</f>
        <v>590226101.63999999</v>
      </c>
      <c r="AM31" s="4">
        <f ca="1">IFERROR(INDIRECT(ADDRESS(31,3)) / INDIRECT(ADDRESS(32,3)),0)</f>
        <v>0.26939338760546633</v>
      </c>
      <c r="AN31" s="3">
        <f ca="1">INDIRECT(ADDRESS(31,9))</f>
        <v>485260075.83999997</v>
      </c>
      <c r="AO31" s="4">
        <f ca="1">IFERROR(INDIRECT(ADDRESS(31,9)) / INDIRECT(ADDRESS(32,9)),0)</f>
        <v>0.23707318944411729</v>
      </c>
      <c r="AP31" s="4">
        <f ca="1">IFERROR((INDIRECT(ADDRESS(31,9)) - INDIRECT(ADDRESS(31,3)))/ INDIRECT(ADDRESS(31,3)),1)</f>
        <v>-0.17784036576549531</v>
      </c>
      <c r="AQ31" s="3">
        <f ca="1">INDIRECT(ADDRESS(31,14))</f>
        <v>363516151.83999997</v>
      </c>
      <c r="AR31" s="4">
        <f ca="1">IFERROR(INDIRECT(ADDRESS(31,14)) / INDIRECT(ADDRESS(32,14)),0)</f>
        <v>0.20304650921431955</v>
      </c>
      <c r="AS31" s="4">
        <f ca="1">IFERROR((INDIRECT(ADDRESS(31,14)) - INDIRECT(ADDRESS(31,3)))/ INDIRECT(ADDRESS(31,3)),1)</f>
        <v>-0.38410695353876184</v>
      </c>
      <c r="AT31" s="3">
        <f ca="1">INDIRECT(ADDRESS(31,19))</f>
        <v>282627639.83999997</v>
      </c>
      <c r="AU31" s="4">
        <f ca="1">IFERROR(INDIRECT(ADDRESS(31,19)) / INDIRECT(ADDRESS(32,19)),0)</f>
        <v>0.1720872403732131</v>
      </c>
      <c r="AV31" s="4">
        <f ca="1">IFERROR((INDIRECT(ADDRESS(31,19)) - INDIRECT(ADDRESS(31,3)))/ INDIRECT(ADDRESS(31,3)),1)</f>
        <v>-0.52115360697418855</v>
      </c>
      <c r="AW31" s="3">
        <f ca="1">INDIRECT(ADDRESS(31,24))</f>
        <v>234070234.84</v>
      </c>
      <c r="AX31" s="4">
        <f ca="1">IFERROR(INDIRECT(ADDRESS(31,24)) / INDIRECT(ADDRESS(32,24)),0)</f>
        <v>0.1560756796941731</v>
      </c>
      <c r="AY31" s="4">
        <f ca="1">IFERROR((INDIRECT(ADDRESS(31,24)) - INDIRECT(ADDRESS(31,3)))/ INDIRECT(ADDRESS(31,3)),1)</f>
        <v>-0.60342276597118738</v>
      </c>
      <c r="AZ31" s="3">
        <f ca="1">INDIRECT(ADDRESS(31,29))</f>
        <v>209981367.84</v>
      </c>
      <c r="BA31" s="4">
        <f ca="1">IFERROR(INDIRECT(ADDRESS(31,29)) / INDIRECT(ADDRESS(32,29)),0)</f>
        <v>0.14608106072928684</v>
      </c>
      <c r="BB31" s="4">
        <f ca="1">IFERROR((INDIRECT(ADDRESS(31,29)) - INDIRECT(ADDRESS(31,3)))/ INDIRECT(ADDRESS(31,3)),1)</f>
        <v>-0.64423571364169319</v>
      </c>
      <c r="BC31" s="3">
        <f ca="1">INDIRECT(ADDRESS(31,34))</f>
        <v>199239710.03999999</v>
      </c>
      <c r="BD31" s="4">
        <f ca="1">IFERROR(INDIRECT(ADDRESS(31,34)) / INDIRECT(ADDRESS(32,34)),0)</f>
        <v>0.14087128956490602</v>
      </c>
      <c r="BE31" s="4">
        <f ca="1">IFERROR((INDIRECT(ADDRESS(31,34)) - INDIRECT(ADDRESS(31,3)))/ INDIRECT(ADDRESS(31,3)),1)</f>
        <v>-0.66243493893883498</v>
      </c>
    </row>
    <row r="32" spans="1:57" x14ac:dyDescent="0.25">
      <c r="A32" s="1" t="s">
        <v>21</v>
      </c>
      <c r="B32" s="1"/>
      <c r="C32">
        <v>2190945022.3937998</v>
      </c>
      <c r="D32">
        <v>2181013091.4938002</v>
      </c>
      <c r="E32">
        <v>2168649074.6283998</v>
      </c>
      <c r="F32">
        <v>2159616601.4717999</v>
      </c>
      <c r="G32">
        <v>2148245068.49615</v>
      </c>
      <c r="H32">
        <v>2127575738.8919001</v>
      </c>
      <c r="I32">
        <v>2046878759.1622</v>
      </c>
      <c r="J32">
        <v>2014504207.2439001</v>
      </c>
      <c r="K32">
        <v>1980060274.7228</v>
      </c>
      <c r="L32">
        <v>1944509010.6858001</v>
      </c>
      <c r="M32">
        <v>1906365944.5527999</v>
      </c>
      <c r="N32">
        <v>1790309782.9488001</v>
      </c>
      <c r="O32">
        <v>1759573942.6503</v>
      </c>
      <c r="P32">
        <v>1730433772.3900001</v>
      </c>
      <c r="Q32">
        <v>1701671982.5610001</v>
      </c>
      <c r="R32">
        <v>1669334474.4214499</v>
      </c>
      <c r="S32">
        <v>1642350933.3234301</v>
      </c>
      <c r="T32">
        <v>1614208303.0134101</v>
      </c>
      <c r="U32">
        <v>1585373387.97173</v>
      </c>
      <c r="V32">
        <v>1556266161.3201699</v>
      </c>
      <c r="W32">
        <v>1527057278.5388501</v>
      </c>
      <c r="X32">
        <v>1499722668.5070701</v>
      </c>
      <c r="Y32">
        <v>1488467833.464505</v>
      </c>
      <c r="Z32">
        <v>1479269293.2331021</v>
      </c>
      <c r="AA32">
        <v>1471075469.2143121</v>
      </c>
      <c r="AB32">
        <v>1463546693.80302</v>
      </c>
      <c r="AC32">
        <v>1437430470.395689</v>
      </c>
      <c r="AD32">
        <v>1431771092.156661</v>
      </c>
      <c r="AE32">
        <v>1426701542.957567</v>
      </c>
      <c r="AF32">
        <v>1422129508.153791</v>
      </c>
      <c r="AG32">
        <v>1417470998.425509</v>
      </c>
      <c r="AH32">
        <v>1414338653.783679</v>
      </c>
    </row>
    <row r="33" spans="1:57" x14ac:dyDescent="0.25">
      <c r="A33" s="5" t="s">
        <v>3</v>
      </c>
      <c r="B33" s="1" t="s">
        <v>22</v>
      </c>
      <c r="C33">
        <v>8877019.4220000003</v>
      </c>
      <c r="D33">
        <v>8877019.4220000003</v>
      </c>
      <c r="E33">
        <v>8877019.4220000003</v>
      </c>
      <c r="F33">
        <v>8877019.4220000003</v>
      </c>
      <c r="G33">
        <v>8877019.4220000003</v>
      </c>
      <c r="H33">
        <v>8877019.4220000003</v>
      </c>
      <c r="I33">
        <v>8877019.4220000003</v>
      </c>
      <c r="J33">
        <v>8877019.4220000003</v>
      </c>
      <c r="K33">
        <v>8877019.4220000003</v>
      </c>
      <c r="L33">
        <v>8877019.4220000003</v>
      </c>
      <c r="M33">
        <v>8877019.4220000003</v>
      </c>
      <c r="N33">
        <v>8877019.4220000003</v>
      </c>
      <c r="O33">
        <v>8877019.4220000003</v>
      </c>
      <c r="P33">
        <v>8877019.4220000003</v>
      </c>
      <c r="Q33">
        <v>8877019.4220000003</v>
      </c>
      <c r="R33">
        <v>8877019.4220000003</v>
      </c>
      <c r="S33">
        <v>8877019.4220000003</v>
      </c>
      <c r="T33">
        <v>8877019.4220000003</v>
      </c>
      <c r="U33">
        <v>8877019.4220000003</v>
      </c>
      <c r="V33">
        <v>8877019.4220000003</v>
      </c>
      <c r="W33">
        <v>8877019.4220000003</v>
      </c>
      <c r="X33">
        <v>8877019.4220000003</v>
      </c>
      <c r="Y33">
        <v>8877019.4220000003</v>
      </c>
      <c r="Z33">
        <v>8877019.4220000003</v>
      </c>
      <c r="AA33">
        <v>8877019.4220000003</v>
      </c>
      <c r="AB33">
        <v>8877019.4220000003</v>
      </c>
      <c r="AC33">
        <v>8877019.4220000003</v>
      </c>
      <c r="AD33">
        <v>8877019.4220000003</v>
      </c>
      <c r="AE33">
        <v>8877019.4220000003</v>
      </c>
      <c r="AF33">
        <v>8877019.4220000003</v>
      </c>
      <c r="AG33">
        <v>8877019.4220000003</v>
      </c>
      <c r="AH33">
        <v>8877019.4220000003</v>
      </c>
      <c r="AK33" s="3" t="str">
        <f ca="1">INDIRECT(ADDRESS(33,2))</f>
        <v>Agriculture</v>
      </c>
      <c r="AL33" s="3">
        <f ca="1">INDIRECT(ADDRESS(33,3))</f>
        <v>8877019.4220000003</v>
      </c>
      <c r="AM33" s="4">
        <f ca="1">IFERROR(INDIRECT(ADDRESS(33,3)) / INDIRECT(ADDRESS(39,3)),0)</f>
        <v>4.0516851547014524E-3</v>
      </c>
      <c r="AN33" s="3">
        <f ca="1">INDIRECT(ADDRESS(33,9))</f>
        <v>8877019.4220000003</v>
      </c>
      <c r="AO33" s="4">
        <f ca="1">IFERROR(INDIRECT(ADDRESS(33,9)) / INDIRECT(ADDRESS(39,9)),0)</f>
        <v>4.2442334829019147E-3</v>
      </c>
      <c r="AP33" s="4">
        <f ca="1">IFERROR((INDIRECT(ADDRESS(33,9)) - INDIRECT(ADDRESS(33,3)))/ INDIRECT(ADDRESS(33,3)),1)</f>
        <v>0</v>
      </c>
      <c r="AQ33" s="3">
        <f ca="1">INDIRECT(ADDRESS(33,14))</f>
        <v>8877019.4220000003</v>
      </c>
      <c r="AR33" s="4">
        <f ca="1">IFERROR(INDIRECT(ADDRESS(33,14)) / INDIRECT(ADDRESS(39,14)),0)</f>
        <v>4.6532152006310079E-3</v>
      </c>
      <c r="AS33" s="4">
        <f ca="1">IFERROR((INDIRECT(ADDRESS(33,14)) - INDIRECT(ADDRESS(33,3)))/ INDIRECT(ADDRESS(33,3)),1)</f>
        <v>0</v>
      </c>
      <c r="AT33" s="3">
        <f ca="1">INDIRECT(ADDRESS(33,19))</f>
        <v>8877019.4220000003</v>
      </c>
      <c r="AU33" s="4">
        <f ca="1">IFERROR(INDIRECT(ADDRESS(33,19)) / INDIRECT(ADDRESS(39,19)),0)</f>
        <v>4.8243071020639171E-3</v>
      </c>
      <c r="AV33" s="4">
        <f ca="1">IFERROR((INDIRECT(ADDRESS(33,19)) - INDIRECT(ADDRESS(33,3)))/ INDIRECT(ADDRESS(33,3)),1)</f>
        <v>0</v>
      </c>
      <c r="AW33" s="3">
        <f ca="1">INDIRECT(ADDRESS(33,24))</f>
        <v>8877019.4220000003</v>
      </c>
      <c r="AX33" s="4">
        <f ca="1">IFERROR(INDIRECT(ADDRESS(33,24)) / INDIRECT(ADDRESS(39,24)),0)</f>
        <v>4.9915684050894958E-3</v>
      </c>
      <c r="AY33" s="4">
        <f ca="1">IFERROR((INDIRECT(ADDRESS(33,24)) - INDIRECT(ADDRESS(33,3)))/ INDIRECT(ADDRESS(33,3)),1)</f>
        <v>0</v>
      </c>
      <c r="AZ33" s="3">
        <f ca="1">INDIRECT(ADDRESS(33,29))</f>
        <v>8877019.4220000003</v>
      </c>
      <c r="BA33" s="4">
        <f ca="1">IFERROR(INDIRECT(ADDRESS(33,29)) / INDIRECT(ADDRESS(39,29)),0)</f>
        <v>5.1990344789290118E-3</v>
      </c>
      <c r="BB33" s="4">
        <f ca="1">IFERROR((INDIRECT(ADDRESS(33,29)) - INDIRECT(ADDRESS(33,3)))/ INDIRECT(ADDRESS(33,3)),1)</f>
        <v>0</v>
      </c>
      <c r="BC33" s="3">
        <f ca="1">INDIRECT(ADDRESS(33,34))</f>
        <v>8877019.4220000003</v>
      </c>
      <c r="BD33" s="4">
        <f ca="1">IFERROR(INDIRECT(ADDRESS(33,34)) / INDIRECT(ADDRESS(39,34)),0)</f>
        <v>5.2965643265026245E-3</v>
      </c>
      <c r="BE33" s="4">
        <f ca="1">IFERROR((INDIRECT(ADDRESS(33,34)) - INDIRECT(ADDRESS(33,3)))/ INDIRECT(ADDRESS(33,3)),1)</f>
        <v>0</v>
      </c>
    </row>
    <row r="34" spans="1:57" x14ac:dyDescent="0.25">
      <c r="A34" s="5"/>
      <c r="B34" s="1" t="s">
        <v>23</v>
      </c>
      <c r="C34">
        <v>205953267.586</v>
      </c>
      <c r="D34">
        <v>205808531.914</v>
      </c>
      <c r="E34">
        <v>207084244.76899999</v>
      </c>
      <c r="F34">
        <v>208352337.44600001</v>
      </c>
      <c r="G34">
        <v>209577963.241</v>
      </c>
      <c r="H34">
        <v>206547083.324</v>
      </c>
      <c r="I34">
        <v>206491222.68700001</v>
      </c>
      <c r="J34">
        <v>203487285.669</v>
      </c>
      <c r="K34">
        <v>200641176.72400001</v>
      </c>
      <c r="L34">
        <v>197930643.29899999</v>
      </c>
      <c r="M34">
        <v>193827807.63600001</v>
      </c>
      <c r="N34">
        <v>192701338.16299999</v>
      </c>
      <c r="O34">
        <v>189735879.79080001</v>
      </c>
      <c r="P34">
        <v>186828939.94620001</v>
      </c>
      <c r="Q34">
        <v>183979572.3193</v>
      </c>
      <c r="R34">
        <v>179979621.74570999</v>
      </c>
      <c r="S34">
        <v>179820136.25759</v>
      </c>
      <c r="T34">
        <v>178374750.78156</v>
      </c>
      <c r="U34">
        <v>176860520.34920001</v>
      </c>
      <c r="V34">
        <v>175186424.24876001</v>
      </c>
      <c r="W34">
        <v>172146497.37108001</v>
      </c>
      <c r="X34">
        <v>171570955.08520001</v>
      </c>
      <c r="Y34">
        <v>169856182.46413001</v>
      </c>
      <c r="Z34">
        <v>168146773.22229999</v>
      </c>
      <c r="AA34">
        <v>166443854.62037</v>
      </c>
      <c r="AB34">
        <v>163408430.47529</v>
      </c>
      <c r="AC34">
        <v>163046685.7182</v>
      </c>
      <c r="AD34">
        <v>161404667.30882001</v>
      </c>
      <c r="AE34">
        <v>159769094.53591999</v>
      </c>
      <c r="AF34">
        <v>158139963.02451</v>
      </c>
      <c r="AG34">
        <v>155162522.05676001</v>
      </c>
      <c r="AH34">
        <v>154906400.08418</v>
      </c>
      <c r="AK34" s="3" t="str">
        <f ca="1">INDIRECT(ADDRESS(34,2))</f>
        <v>Commercial</v>
      </c>
      <c r="AL34" s="3">
        <f ca="1">INDIRECT(ADDRESS(34,3))</f>
        <v>205953267.586</v>
      </c>
      <c r="AM34" s="4">
        <f ca="1">IFERROR(INDIRECT(ADDRESS(34,3)) / INDIRECT(ADDRESS(39,3)),0)</f>
        <v>9.4002024460192971E-2</v>
      </c>
      <c r="AN34" s="3">
        <f ca="1">INDIRECT(ADDRESS(34,9))</f>
        <v>206491222.68700001</v>
      </c>
      <c r="AO34" s="4">
        <f ca="1">IFERROR(INDIRECT(ADDRESS(34,9)) / INDIRECT(ADDRESS(39,9)),0)</f>
        <v>9.8726489105288875E-2</v>
      </c>
      <c r="AP34" s="4">
        <f ca="1">IFERROR((INDIRECT(ADDRESS(34,9)) - INDIRECT(ADDRESS(34,3)))/ INDIRECT(ADDRESS(34,3)),1)</f>
        <v>2.612025083677669E-3</v>
      </c>
      <c r="AQ34" s="3">
        <f ca="1">INDIRECT(ADDRESS(34,14))</f>
        <v>192701338.16299999</v>
      </c>
      <c r="AR34" s="4">
        <f ca="1">IFERROR(INDIRECT(ADDRESS(34,14)) / INDIRECT(ADDRESS(39,14)),0)</f>
        <v>0.1010114716770536</v>
      </c>
      <c r="AS34" s="4">
        <f ca="1">IFERROR((INDIRECT(ADDRESS(34,14)) - INDIRECT(ADDRESS(34,3)))/ INDIRECT(ADDRESS(34,3)),1)</f>
        <v>-6.4344351407128769E-2</v>
      </c>
      <c r="AT34" s="3">
        <f ca="1">INDIRECT(ADDRESS(34,19))</f>
        <v>179820136.25759</v>
      </c>
      <c r="AU34" s="4">
        <f ca="1">IFERROR(INDIRECT(ADDRESS(34,19)) / INDIRECT(ADDRESS(39,19)),0)</f>
        <v>9.7725094336466201E-2</v>
      </c>
      <c r="AV34" s="4">
        <f ca="1">IFERROR((INDIRECT(ADDRESS(34,19)) - INDIRECT(ADDRESS(34,3)))/ INDIRECT(ADDRESS(34,3)),1)</f>
        <v>-0.12688864631631822</v>
      </c>
      <c r="AW34" s="3">
        <f ca="1">INDIRECT(ADDRESS(34,24))</f>
        <v>171570955.08520001</v>
      </c>
      <c r="AX34" s="4">
        <f ca="1">IFERROR(INDIRECT(ADDRESS(34,24)) / INDIRECT(ADDRESS(39,24)),0)</f>
        <v>9.6474742018911111E-2</v>
      </c>
      <c r="AY34" s="4">
        <f ca="1">IFERROR((INDIRECT(ADDRESS(34,24)) - INDIRECT(ADDRESS(34,3)))/ INDIRECT(ADDRESS(34,3)),1)</f>
        <v>-0.16694230154150358</v>
      </c>
      <c r="AZ34" s="3">
        <f ca="1">INDIRECT(ADDRESS(34,29))</f>
        <v>163046685.7182</v>
      </c>
      <c r="BA34" s="4">
        <f ca="1">IFERROR(INDIRECT(ADDRESS(34,29)) / INDIRECT(ADDRESS(39,29)),0)</f>
        <v>9.5492112884556474E-2</v>
      </c>
      <c r="BB34" s="4">
        <f ca="1">IFERROR((INDIRECT(ADDRESS(34,29)) - INDIRECT(ADDRESS(34,3)))/ INDIRECT(ADDRESS(34,3)),1)</f>
        <v>-0.2083316393602907</v>
      </c>
      <c r="BC34" s="3">
        <f ca="1">INDIRECT(ADDRESS(34,34))</f>
        <v>154906400.08418</v>
      </c>
      <c r="BD34" s="4">
        <f ca="1">IFERROR(INDIRECT(ADDRESS(34,34)) / INDIRECT(ADDRESS(39,34)),0)</f>
        <v>9.2426486146851075E-2</v>
      </c>
      <c r="BE34" s="4">
        <f ca="1">IFERROR((INDIRECT(ADDRESS(34,34)) - INDIRECT(ADDRESS(34,3)))/ INDIRECT(ADDRESS(34,3)),1)</f>
        <v>-0.24785655551934535</v>
      </c>
    </row>
    <row r="35" spans="1:57" x14ac:dyDescent="0.25">
      <c r="A35" s="5"/>
      <c r="B35" s="1" t="s">
        <v>24</v>
      </c>
      <c r="C35">
        <v>701026638.59179997</v>
      </c>
      <c r="D35">
        <v>699700685.90180004</v>
      </c>
      <c r="E35">
        <v>699700695.90180004</v>
      </c>
      <c r="F35">
        <v>699700685.80180001</v>
      </c>
      <c r="G35">
        <v>699700695.90180004</v>
      </c>
      <c r="H35">
        <v>699700695.90180004</v>
      </c>
      <c r="I35">
        <v>654268985.02180004</v>
      </c>
      <c r="J35">
        <v>654268985.02180004</v>
      </c>
      <c r="K35">
        <v>654268985.02180004</v>
      </c>
      <c r="L35">
        <v>654268985.13179994</v>
      </c>
      <c r="M35">
        <v>654268985.02180004</v>
      </c>
      <c r="N35">
        <v>572901694.21179998</v>
      </c>
      <c r="O35">
        <v>572901684.21179998</v>
      </c>
      <c r="P35">
        <v>572901684.21179998</v>
      </c>
      <c r="Q35">
        <v>572901684.21179998</v>
      </c>
      <c r="R35">
        <v>572901684.21179998</v>
      </c>
      <c r="S35">
        <v>572901684.21179998</v>
      </c>
      <c r="T35">
        <v>572901684.21179998</v>
      </c>
      <c r="U35">
        <v>572901684.21079993</v>
      </c>
      <c r="V35">
        <v>572901694.21179998</v>
      </c>
      <c r="W35">
        <v>572901684.21179998</v>
      </c>
      <c r="X35">
        <v>572901684.21179998</v>
      </c>
      <c r="Y35">
        <v>572901694.21179998</v>
      </c>
      <c r="Z35">
        <v>572901694.21179998</v>
      </c>
      <c r="AA35">
        <v>572901694.21179998</v>
      </c>
      <c r="AB35">
        <v>572901684.21079993</v>
      </c>
      <c r="AC35">
        <v>553104509.91180003</v>
      </c>
      <c r="AD35">
        <v>553104510.91180003</v>
      </c>
      <c r="AE35">
        <v>553104509.91180003</v>
      </c>
      <c r="AF35">
        <v>553104511.01180005</v>
      </c>
      <c r="AG35">
        <v>553104509.91180003</v>
      </c>
      <c r="AH35">
        <v>553104509.91180003</v>
      </c>
      <c r="AK35" s="3" t="str">
        <f ca="1">INDIRECT(ADDRESS(35,2))</f>
        <v>Energy Production</v>
      </c>
      <c r="AL35" s="3">
        <f ca="1">INDIRECT(ADDRESS(35,3))</f>
        <v>701026638.59179997</v>
      </c>
      <c r="AM35" s="4">
        <f ca="1">IFERROR(INDIRECT(ADDRESS(35,3)) / INDIRECT(ADDRESS(39,3)),0)</f>
        <v>0.31996541740050916</v>
      </c>
      <c r="AN35" s="3">
        <f ca="1">INDIRECT(ADDRESS(35,9))</f>
        <v>654268985.02180004</v>
      </c>
      <c r="AO35" s="4">
        <f ca="1">IFERROR(INDIRECT(ADDRESS(35,9)) / INDIRECT(ADDRESS(39,9)),0)</f>
        <v>0.31281561986581113</v>
      </c>
      <c r="AP35" s="4">
        <f ca="1">IFERROR((INDIRECT(ADDRESS(35,9)) - INDIRECT(ADDRESS(35,3)))/ INDIRECT(ADDRESS(35,3)),1)</f>
        <v>-6.6698825687887153E-2</v>
      </c>
      <c r="AQ35" s="3">
        <f ca="1">INDIRECT(ADDRESS(35,14))</f>
        <v>572901694.21179998</v>
      </c>
      <c r="AR35" s="4">
        <f ca="1">IFERROR(INDIRECT(ADDRESS(35,14)) / INDIRECT(ADDRESS(39,14)),0)</f>
        <v>0.30030742811791555</v>
      </c>
      <c r="AS35" s="4">
        <f ca="1">IFERROR((INDIRECT(ADDRESS(35,14)) - INDIRECT(ADDRESS(35,3)))/ INDIRECT(ADDRESS(35,3)),1)</f>
        <v>-0.18276758303703453</v>
      </c>
      <c r="AT35" s="3">
        <f ca="1">INDIRECT(ADDRESS(35,19))</f>
        <v>572901684.21179998</v>
      </c>
      <c r="AU35" s="4">
        <f ca="1">IFERROR(INDIRECT(ADDRESS(35,19)) / INDIRECT(ADDRESS(39,19)),0)</f>
        <v>0.31134928657221161</v>
      </c>
      <c r="AV35" s="4">
        <f ca="1">IFERROR((INDIRECT(ADDRESS(35,19)) - INDIRECT(ADDRESS(35,3)))/ INDIRECT(ADDRESS(35,3)),1)</f>
        <v>-0.18276759730182768</v>
      </c>
      <c r="AW35" s="3">
        <f ca="1">INDIRECT(ADDRESS(35,24))</f>
        <v>572901684.21179998</v>
      </c>
      <c r="AX35" s="4">
        <f ca="1">IFERROR(INDIRECT(ADDRESS(35,24)) / INDIRECT(ADDRESS(39,24)),0)</f>
        <v>0.32214393257347324</v>
      </c>
      <c r="AY35" s="4">
        <f ca="1">IFERROR((INDIRECT(ADDRESS(35,24)) - INDIRECT(ADDRESS(35,3)))/ INDIRECT(ADDRESS(35,3)),1)</f>
        <v>-0.18276759730182768</v>
      </c>
      <c r="AZ35" s="3">
        <f ca="1">INDIRECT(ADDRESS(35,29))</f>
        <v>553104509.91180003</v>
      </c>
      <c r="BA35" s="4">
        <f ca="1">IFERROR(INDIRECT(ADDRESS(35,29)) / INDIRECT(ADDRESS(39,29)),0)</f>
        <v>0.32393861957268361</v>
      </c>
      <c r="BB35" s="4">
        <f ca="1">IFERROR((INDIRECT(ADDRESS(35,29)) - INDIRECT(ADDRESS(35,3)))/ INDIRECT(ADDRESS(35,3)),1)</f>
        <v>-0.21100785695839064</v>
      </c>
      <c r="BC35" s="3">
        <f ca="1">INDIRECT(ADDRESS(35,34))</f>
        <v>553104509.91180003</v>
      </c>
      <c r="BD35" s="4">
        <f ca="1">IFERROR(INDIRECT(ADDRESS(35,34)) / INDIRECT(ADDRESS(39,34)),0)</f>
        <v>0.33001545640040136</v>
      </c>
      <c r="BE35" s="4">
        <f ca="1">IFERROR((INDIRECT(ADDRESS(35,34)) - INDIRECT(ADDRESS(35,3)))/ INDIRECT(ADDRESS(35,3)),1)</f>
        <v>-0.21100785695839064</v>
      </c>
    </row>
    <row r="36" spans="1:57" x14ac:dyDescent="0.25">
      <c r="A36" s="5"/>
      <c r="B36" s="1" t="s">
        <v>26</v>
      </c>
      <c r="C36">
        <v>424886232.45700002</v>
      </c>
      <c r="D36">
        <v>424928230.16000003</v>
      </c>
      <c r="E36">
        <v>424928237.57099998</v>
      </c>
      <c r="F36">
        <v>424928231.26200002</v>
      </c>
      <c r="G36">
        <v>424928225.838</v>
      </c>
      <c r="H36">
        <v>424928225.59100002</v>
      </c>
      <c r="I36">
        <v>426229552.01300001</v>
      </c>
      <c r="J36">
        <v>426410326.87599999</v>
      </c>
      <c r="K36">
        <v>426591106.29400003</v>
      </c>
      <c r="L36">
        <v>426771892.375</v>
      </c>
      <c r="M36">
        <v>426952675.50999999</v>
      </c>
      <c r="N36">
        <v>426053775.53399998</v>
      </c>
      <c r="O36">
        <v>426475621.36799997</v>
      </c>
      <c r="P36">
        <v>426897435.54500002</v>
      </c>
      <c r="Q36">
        <v>427319279.458</v>
      </c>
      <c r="R36">
        <v>427741101.20999998</v>
      </c>
      <c r="S36">
        <v>428162952.93300003</v>
      </c>
      <c r="T36">
        <v>428840864.875</v>
      </c>
      <c r="U36">
        <v>429518814.34600002</v>
      </c>
      <c r="V36">
        <v>430196750.35299999</v>
      </c>
      <c r="W36">
        <v>430874705.31699997</v>
      </c>
      <c r="X36">
        <v>431552637.46399999</v>
      </c>
      <c r="Y36">
        <v>431921736.26300001</v>
      </c>
      <c r="Z36">
        <v>432290839.81900001</v>
      </c>
      <c r="AA36">
        <v>432659947.35500002</v>
      </c>
      <c r="AB36">
        <v>433029051.49299997</v>
      </c>
      <c r="AC36">
        <v>432596351.352</v>
      </c>
      <c r="AD36">
        <v>432739466.917</v>
      </c>
      <c r="AE36">
        <v>432882588.421</v>
      </c>
      <c r="AF36">
        <v>433025713.18300003</v>
      </c>
      <c r="AG36">
        <v>433168847.85000002</v>
      </c>
      <c r="AH36">
        <v>433311961.34799999</v>
      </c>
      <c r="AK36" s="3" t="str">
        <f ca="1">INDIRECT(ADDRESS(36,2))</f>
        <v>Industrial</v>
      </c>
      <c r="AL36" s="3">
        <f ca="1">INDIRECT(ADDRESS(36,3))</f>
        <v>424886232.45700002</v>
      </c>
      <c r="AM36" s="4">
        <f ca="1">IFERROR(INDIRECT(ADDRESS(36,3)) / INDIRECT(ADDRESS(39,3)),0)</f>
        <v>0.19392829492032371</v>
      </c>
      <c r="AN36" s="3">
        <f ca="1">INDIRECT(ADDRESS(36,9))</f>
        <v>426229552.01300001</v>
      </c>
      <c r="AO36" s="4">
        <f ca="1">IFERROR(INDIRECT(ADDRESS(36,9)) / INDIRECT(ADDRESS(39,9)),0)</f>
        <v>0.20378661463469958</v>
      </c>
      <c r="AP36" s="4">
        <f ca="1">IFERROR((INDIRECT(ADDRESS(36,9)) - INDIRECT(ADDRESS(36,3)))/ INDIRECT(ADDRESS(36,3)),1)</f>
        <v>3.1615982194385245E-3</v>
      </c>
      <c r="AQ36" s="3">
        <f ca="1">INDIRECT(ADDRESS(36,14))</f>
        <v>426053775.53399998</v>
      </c>
      <c r="AR36" s="4">
        <f ca="1">IFERROR(INDIRECT(ADDRESS(36,14)) / INDIRECT(ADDRESS(39,14)),0)</f>
        <v>0.22333170745213676</v>
      </c>
      <c r="AS36" s="4">
        <f ca="1">IFERROR((INDIRECT(ADDRESS(36,14)) - INDIRECT(ADDRESS(36,3)))/ INDIRECT(ADDRESS(36,3)),1)</f>
        <v>2.7478957608213909E-3</v>
      </c>
      <c r="AT36" s="3">
        <f ca="1">INDIRECT(ADDRESS(36,19))</f>
        <v>428162952.93300003</v>
      </c>
      <c r="AU36" s="4">
        <f ca="1">IFERROR(INDIRECT(ADDRESS(36,19)) / INDIRECT(ADDRESS(39,19)),0)</f>
        <v>0.23268954099122063</v>
      </c>
      <c r="AV36" s="4">
        <f ca="1">IFERROR((INDIRECT(ADDRESS(36,19)) - INDIRECT(ADDRESS(36,3)))/ INDIRECT(ADDRESS(36,3)),1)</f>
        <v>7.7119949428618552E-3</v>
      </c>
      <c r="AW36" s="3">
        <f ca="1">INDIRECT(ADDRESS(36,24))</f>
        <v>431552637.46399999</v>
      </c>
      <c r="AX36" s="4">
        <f ca="1">IFERROR(INDIRECT(ADDRESS(36,24)) / INDIRECT(ADDRESS(39,24)),0)</f>
        <v>0.24266303901056666</v>
      </c>
      <c r="AY36" s="4">
        <f ca="1">IFERROR((INDIRECT(ADDRESS(36,24)) - INDIRECT(ADDRESS(36,3)))/ INDIRECT(ADDRESS(36,3)),1)</f>
        <v>1.568985883221018E-2</v>
      </c>
      <c r="AZ36" s="3">
        <f ca="1">INDIRECT(ADDRESS(36,29))</f>
        <v>432596351.352</v>
      </c>
      <c r="BA36" s="4">
        <f ca="1">IFERROR(INDIRECT(ADDRESS(36,29)) / INDIRECT(ADDRESS(39,29)),0)</f>
        <v>0.25336019211178168</v>
      </c>
      <c r="BB36" s="4">
        <f ca="1">IFERROR((INDIRECT(ADDRESS(36,29)) - INDIRECT(ADDRESS(36,3)))/ INDIRECT(ADDRESS(36,3)),1)</f>
        <v>1.8146313780078228E-2</v>
      </c>
      <c r="BC36" s="3">
        <f ca="1">INDIRECT(ADDRESS(36,34))</f>
        <v>433311961.34799999</v>
      </c>
      <c r="BD36" s="4">
        <f ca="1">IFERROR(INDIRECT(ADDRESS(36,34)) / INDIRECT(ADDRESS(39,34)),0)</f>
        <v>0.25854000848920311</v>
      </c>
      <c r="BE36" s="4">
        <f ca="1">IFERROR((INDIRECT(ADDRESS(36,34)) - INDIRECT(ADDRESS(36,3)))/ INDIRECT(ADDRESS(36,3)),1)</f>
        <v>1.9830552857117312E-2</v>
      </c>
    </row>
    <row r="37" spans="1:57" x14ac:dyDescent="0.25">
      <c r="A37" s="5"/>
      <c r="B37" s="1" t="s">
        <v>27</v>
      </c>
      <c r="C37">
        <v>259975762.697</v>
      </c>
      <c r="D37">
        <v>260122538.94600001</v>
      </c>
      <c r="E37">
        <v>259735120.80899999</v>
      </c>
      <c r="F37">
        <v>260253014.05000001</v>
      </c>
      <c r="G37">
        <v>260983259.13100001</v>
      </c>
      <c r="H37">
        <v>261747167.83899999</v>
      </c>
      <c r="I37">
        <v>261624399.10299999</v>
      </c>
      <c r="J37">
        <v>261324520.96200001</v>
      </c>
      <c r="K37">
        <v>260998593.81099999</v>
      </c>
      <c r="L37">
        <v>260712691.99599999</v>
      </c>
      <c r="M37">
        <v>260526970.065</v>
      </c>
      <c r="N37">
        <v>259600763.19600001</v>
      </c>
      <c r="O37">
        <v>258732328.73500001</v>
      </c>
      <c r="P37">
        <v>257921658.45500001</v>
      </c>
      <c r="Q37">
        <v>257072092.46799999</v>
      </c>
      <c r="R37">
        <v>256086159.79699999</v>
      </c>
      <c r="S37">
        <v>255029999.63999999</v>
      </c>
      <c r="T37">
        <v>253679324.59799999</v>
      </c>
      <c r="U37">
        <v>252169239.35499999</v>
      </c>
      <c r="V37">
        <v>250527898.38999999</v>
      </c>
      <c r="W37">
        <v>248789089.66</v>
      </c>
      <c r="X37">
        <v>247063584.34200001</v>
      </c>
      <c r="Y37">
        <v>245225320.037</v>
      </c>
      <c r="Z37">
        <v>243384338.71599999</v>
      </c>
      <c r="AA37">
        <v>241553122.61700001</v>
      </c>
      <c r="AB37">
        <v>239733192.91600001</v>
      </c>
      <c r="AC37">
        <v>237971766.71399999</v>
      </c>
      <c r="AD37">
        <v>236173245.22600001</v>
      </c>
      <c r="AE37">
        <v>234390538.683</v>
      </c>
      <c r="AF37">
        <v>232620837.29499999</v>
      </c>
      <c r="AG37">
        <v>230859689.65700001</v>
      </c>
      <c r="AH37">
        <v>229133443.773</v>
      </c>
      <c r="AK37" s="3" t="str">
        <f ca="1">INDIRECT(ADDRESS(37,2))</f>
        <v>Residential</v>
      </c>
      <c r="AL37" s="3">
        <f ca="1">INDIRECT(ADDRESS(37,3))</f>
        <v>259975762.697</v>
      </c>
      <c r="AM37" s="4">
        <f ca="1">IFERROR(INDIRECT(ADDRESS(37,3)) / INDIRECT(ADDRESS(39,3)),0)</f>
        <v>0.11865919045880652</v>
      </c>
      <c r="AN37" s="3">
        <f ca="1">INDIRECT(ADDRESS(37,9))</f>
        <v>261624399.10299999</v>
      </c>
      <c r="AO37" s="4">
        <f ca="1">IFERROR(INDIRECT(ADDRESS(37,9)) / INDIRECT(ADDRESS(39,9)),0)</f>
        <v>0.12508647123888719</v>
      </c>
      <c r="AP37" s="4">
        <f ca="1">IFERROR((INDIRECT(ADDRESS(37,9)) - INDIRECT(ADDRESS(37,3)))/ INDIRECT(ADDRESS(37,3)),1)</f>
        <v>6.3415004110266345E-3</v>
      </c>
      <c r="AQ37" s="3">
        <f ca="1">INDIRECT(ADDRESS(37,14))</f>
        <v>259600763.19600001</v>
      </c>
      <c r="AR37" s="4">
        <f ca="1">IFERROR(INDIRECT(ADDRESS(37,14)) / INDIRECT(ADDRESS(39,14)),0)</f>
        <v>0.13607925813537078</v>
      </c>
      <c r="AS37" s="4">
        <f ca="1">IFERROR((INDIRECT(ADDRESS(37,14)) - INDIRECT(ADDRESS(37,3)))/ INDIRECT(ADDRESS(37,3)),1)</f>
        <v>-1.4424402379272813E-3</v>
      </c>
      <c r="AT37" s="3">
        <f ca="1">INDIRECT(ADDRESS(37,19))</f>
        <v>255029999.63999999</v>
      </c>
      <c r="AU37" s="4">
        <f ca="1">IFERROR(INDIRECT(ADDRESS(37,19)) / INDIRECT(ADDRESS(39,19)),0)</f>
        <v>0.13859866471097715</v>
      </c>
      <c r="AV37" s="4">
        <f ca="1">IFERROR((INDIRECT(ADDRESS(37,19)) - INDIRECT(ADDRESS(37,3)))/ INDIRECT(ADDRESS(37,3)),1)</f>
        <v>-1.9023939022978324E-2</v>
      </c>
      <c r="AW37" s="3">
        <f ca="1">INDIRECT(ADDRESS(37,24))</f>
        <v>247063584.34200001</v>
      </c>
      <c r="AX37" s="4">
        <f ca="1">IFERROR(INDIRECT(ADDRESS(37,24)) / INDIRECT(ADDRESS(39,24)),0)</f>
        <v>0.13892442080202663</v>
      </c>
      <c r="AY37" s="4">
        <f ca="1">IFERROR((INDIRECT(ADDRESS(37,24)) - INDIRECT(ADDRESS(37,3)))/ INDIRECT(ADDRESS(37,3)),1)</f>
        <v>-4.9666854406151109E-2</v>
      </c>
      <c r="AZ37" s="3">
        <f ca="1">INDIRECT(ADDRESS(37,29))</f>
        <v>237971766.71399999</v>
      </c>
      <c r="BA37" s="4">
        <f ca="1">IFERROR(INDIRECT(ADDRESS(37,29)) / INDIRECT(ADDRESS(39,29)),0)</f>
        <v>0.1393737426203569</v>
      </c>
      <c r="BB37" s="4">
        <f ca="1">IFERROR((INDIRECT(ADDRESS(37,29)) - INDIRECT(ADDRESS(37,3)))/ INDIRECT(ADDRESS(37,3)),1)</f>
        <v>-8.4638643828676904E-2</v>
      </c>
      <c r="BC37" s="3">
        <f ca="1">INDIRECT(ADDRESS(37,34))</f>
        <v>229133443.773</v>
      </c>
      <c r="BD37" s="4">
        <f ca="1">IFERROR(INDIRECT(ADDRESS(37,34)) / INDIRECT(ADDRESS(39,34)),0)</f>
        <v>0.13671481007341732</v>
      </c>
      <c r="BE37" s="4">
        <f ca="1">IFERROR((INDIRECT(ADDRESS(37,34)) - INDIRECT(ADDRESS(37,3)))/ INDIRECT(ADDRESS(37,3)),1)</f>
        <v>-0.11863536278936322</v>
      </c>
    </row>
    <row r="38" spans="1:57" x14ac:dyDescent="0.25">
      <c r="A38" s="5"/>
      <c r="B38" s="1" t="s">
        <v>28</v>
      </c>
      <c r="C38">
        <v>590226101.63999999</v>
      </c>
      <c r="D38">
        <v>581199655.44000006</v>
      </c>
      <c r="E38">
        <v>578731560.07300007</v>
      </c>
      <c r="F38">
        <v>572683278.39600003</v>
      </c>
      <c r="G38">
        <v>567630250.31799996</v>
      </c>
      <c r="H38">
        <v>557303235.352</v>
      </c>
      <c r="I38">
        <v>534057144.38</v>
      </c>
      <c r="J38">
        <v>518615508.41000003</v>
      </c>
      <c r="K38">
        <v>500854726.32999998</v>
      </c>
      <c r="L38">
        <v>481734172.36000001</v>
      </c>
      <c r="M38">
        <v>463012681.39999998</v>
      </c>
      <c r="N38">
        <v>447582770.31999999</v>
      </c>
      <c r="O38">
        <v>435016186.33999997</v>
      </c>
      <c r="P38">
        <v>424876547.37</v>
      </c>
      <c r="Q38">
        <v>415869404.41000003</v>
      </c>
      <c r="R38">
        <v>404114909.32999998</v>
      </c>
      <c r="S38">
        <v>395269222.35000002</v>
      </c>
      <c r="T38">
        <v>385284649.38999999</v>
      </c>
      <c r="U38">
        <v>374856527.31999999</v>
      </c>
      <c r="V38">
        <v>364612629.33999997</v>
      </c>
      <c r="W38">
        <v>355071532.33999997</v>
      </c>
      <c r="X38">
        <v>346436958.33999997</v>
      </c>
      <c r="Y38">
        <v>337984548.33999997</v>
      </c>
      <c r="Z38">
        <v>330147068.33999997</v>
      </c>
      <c r="AA38">
        <v>323138638.33999997</v>
      </c>
      <c r="AB38">
        <v>317046638.33999997</v>
      </c>
      <c r="AC38">
        <v>311839818.33999997</v>
      </c>
      <c r="AD38">
        <v>307500488.33999997</v>
      </c>
      <c r="AE38">
        <v>303935628.33999997</v>
      </c>
      <c r="AF38">
        <v>301043418.33999997</v>
      </c>
      <c r="AG38">
        <v>298683908.33999997</v>
      </c>
      <c r="AH38">
        <v>296662438.33999997</v>
      </c>
      <c r="AK38" s="3" t="str">
        <f ca="1">INDIRECT(ADDRESS(38,2))</f>
        <v>Transportation</v>
      </c>
      <c r="AL38" s="3">
        <f ca="1">INDIRECT(ADDRESS(38,3))</f>
        <v>590226101.63999999</v>
      </c>
      <c r="AM38" s="4">
        <f ca="1">IFERROR(INDIRECT(ADDRESS(38,3)) / INDIRECT(ADDRESS(39,3)),0)</f>
        <v>0.26939338760546633</v>
      </c>
      <c r="AN38" s="3">
        <f ca="1">INDIRECT(ADDRESS(38,9))</f>
        <v>534057144.38</v>
      </c>
      <c r="AO38" s="4">
        <f ca="1">IFERROR(INDIRECT(ADDRESS(38,9)) / INDIRECT(ADDRESS(39,9)),0)</f>
        <v>0.25534057167241125</v>
      </c>
      <c r="AP38" s="4">
        <f ca="1">IFERROR((INDIRECT(ADDRESS(38,9)) - INDIRECT(ADDRESS(38,3)))/ INDIRECT(ADDRESS(38,3)),1)</f>
        <v>-9.5165152987862003E-2</v>
      </c>
      <c r="AQ38" s="3">
        <f ca="1">INDIRECT(ADDRESS(38,14))</f>
        <v>447582770.31999999</v>
      </c>
      <c r="AR38" s="4">
        <f ca="1">IFERROR(INDIRECT(ADDRESS(38,14)) / INDIRECT(ADDRESS(39,14)),0)</f>
        <v>0.23461691941689222</v>
      </c>
      <c r="AS38" s="4">
        <f ca="1">IFERROR((INDIRECT(ADDRESS(38,14)) - INDIRECT(ADDRESS(38,3)))/ INDIRECT(ADDRESS(38,3)),1)</f>
        <v>-0.2416757424377739</v>
      </c>
      <c r="AT38" s="3">
        <f ca="1">INDIRECT(ADDRESS(38,19))</f>
        <v>395269222.35000002</v>
      </c>
      <c r="AU38" s="4">
        <f ca="1">IFERROR(INDIRECT(ADDRESS(38,19)) / INDIRECT(ADDRESS(39,19)),0)</f>
        <v>0.21481310628706055</v>
      </c>
      <c r="AV38" s="4">
        <f ca="1">IFERROR((INDIRECT(ADDRESS(38,19)) - INDIRECT(ADDRESS(38,3)))/ INDIRECT(ADDRESS(38,3)),1)</f>
        <v>-0.33030880665611623</v>
      </c>
      <c r="AW38" s="3">
        <f ca="1">INDIRECT(ADDRESS(38,24))</f>
        <v>346436958.33999997</v>
      </c>
      <c r="AX38" s="4">
        <f ca="1">IFERROR(INDIRECT(ADDRESS(38,24)) / INDIRECT(ADDRESS(39,24)),0)</f>
        <v>0.19480229718993283</v>
      </c>
      <c r="AY38" s="4">
        <f ca="1">IFERROR((INDIRECT(ADDRESS(38,24)) - INDIRECT(ADDRESS(38,3)))/ INDIRECT(ADDRESS(38,3)),1)</f>
        <v>-0.41304364992095138</v>
      </c>
      <c r="AZ38" s="3">
        <f ca="1">INDIRECT(ADDRESS(38,29))</f>
        <v>311839818.33999997</v>
      </c>
      <c r="BA38" s="4">
        <f ca="1">IFERROR(INDIRECT(ADDRESS(38,29)) / INDIRECT(ADDRESS(39,29)),0)</f>
        <v>0.18263629833169237</v>
      </c>
      <c r="BB38" s="4">
        <f ca="1">IFERROR((INDIRECT(ADDRESS(38,29)) - INDIRECT(ADDRESS(38,3)))/ INDIRECT(ADDRESS(38,3)),1)</f>
        <v>-0.47166040696349576</v>
      </c>
      <c r="BC38" s="3">
        <f ca="1">INDIRECT(ADDRESS(38,34))</f>
        <v>296662438.33999997</v>
      </c>
      <c r="BD38" s="4">
        <f ca="1">IFERROR(INDIRECT(ADDRESS(38,34)) / INDIRECT(ADDRESS(39,34)),0)</f>
        <v>0.17700667456362454</v>
      </c>
      <c r="BE38" s="4">
        <f ca="1">IFERROR((INDIRECT(ADDRESS(38,34)) - INDIRECT(ADDRESS(38,3)))/ INDIRECT(ADDRESS(38,3)),1)</f>
        <v>-0.49737492544688405</v>
      </c>
    </row>
    <row r="39" spans="1:57" x14ac:dyDescent="0.25">
      <c r="A39" s="1" t="s">
        <v>21</v>
      </c>
      <c r="B39" s="1"/>
      <c r="C39">
        <v>2190945022.3937998</v>
      </c>
      <c r="D39">
        <v>2180636661.7838001</v>
      </c>
      <c r="E39">
        <v>2179056878.5458002</v>
      </c>
      <c r="F39">
        <v>2174794566.3778</v>
      </c>
      <c r="G39">
        <v>2171697413.8518</v>
      </c>
      <c r="H39">
        <v>2159103427.4298</v>
      </c>
      <c r="I39">
        <v>2091548322.6268001</v>
      </c>
      <c r="J39">
        <v>2072983646.3608</v>
      </c>
      <c r="K39">
        <v>2052231607.6027999</v>
      </c>
      <c r="L39">
        <v>2030295404.5838001</v>
      </c>
      <c r="M39">
        <v>2007466139.0548</v>
      </c>
      <c r="N39">
        <v>1907717360.8468001</v>
      </c>
      <c r="O39">
        <v>1891738719.8676</v>
      </c>
      <c r="P39">
        <v>1878303284.95</v>
      </c>
      <c r="Q39">
        <v>1866019052.2890999</v>
      </c>
      <c r="R39">
        <v>1849700495.7165101</v>
      </c>
      <c r="S39">
        <v>1840061014.8143899</v>
      </c>
      <c r="T39">
        <v>1827958293.2783599</v>
      </c>
      <c r="U39">
        <v>1815183805.003</v>
      </c>
      <c r="V39">
        <v>1802302415.96556</v>
      </c>
      <c r="W39">
        <v>1788660528.3218801</v>
      </c>
      <c r="X39">
        <v>1778402838.865</v>
      </c>
      <c r="Y39">
        <v>1766766500.7379301</v>
      </c>
      <c r="Z39">
        <v>1755747733.7311001</v>
      </c>
      <c r="AA39">
        <v>1745574276.56617</v>
      </c>
      <c r="AB39">
        <v>1734996016.85709</v>
      </c>
      <c r="AC39">
        <v>1707436151.4579999</v>
      </c>
      <c r="AD39">
        <v>1699799398.1256199</v>
      </c>
      <c r="AE39">
        <v>1692959379.31372</v>
      </c>
      <c r="AF39">
        <v>1686811462.27631</v>
      </c>
      <c r="AG39">
        <v>1679856497.23756</v>
      </c>
      <c r="AH39">
        <v>1675995772.8789799</v>
      </c>
    </row>
    <row r="40" spans="1:57" x14ac:dyDescent="0.25">
      <c r="A40" s="5" t="s">
        <v>4</v>
      </c>
      <c r="B40" s="1" t="s">
        <v>22</v>
      </c>
      <c r="C40">
        <v>8877019.4220000003</v>
      </c>
      <c r="D40">
        <v>8877019.4220000003</v>
      </c>
      <c r="E40">
        <v>8877019.4220000003</v>
      </c>
      <c r="F40">
        <v>8877019.4220000003</v>
      </c>
      <c r="G40">
        <v>8877019.4220000003</v>
      </c>
      <c r="H40">
        <v>8877019.4220000003</v>
      </c>
      <c r="I40">
        <v>8877019.4220000003</v>
      </c>
      <c r="J40">
        <v>8877019.4220000003</v>
      </c>
      <c r="K40">
        <v>8877019.4220000003</v>
      </c>
      <c r="L40">
        <v>8877019.4220000003</v>
      </c>
      <c r="M40">
        <v>8877019.4220000003</v>
      </c>
      <c r="N40">
        <v>8877019.4220000003</v>
      </c>
      <c r="O40">
        <v>8877019.4220000003</v>
      </c>
      <c r="P40">
        <v>8877019.4220000003</v>
      </c>
      <c r="Q40">
        <v>8877019.4220000003</v>
      </c>
      <c r="R40">
        <v>8877019.4220000003</v>
      </c>
      <c r="S40">
        <v>8877019.4220000003</v>
      </c>
      <c r="T40">
        <v>8877019.4220000003</v>
      </c>
      <c r="U40">
        <v>8877019.4220000003</v>
      </c>
      <c r="V40">
        <v>8877019.4220000003</v>
      </c>
      <c r="W40">
        <v>8877019.4220000003</v>
      </c>
      <c r="X40">
        <v>8877019.4220000003</v>
      </c>
      <c r="Y40">
        <v>8877019.4220000003</v>
      </c>
      <c r="Z40">
        <v>8877019.4220000003</v>
      </c>
      <c r="AA40">
        <v>8877019.4220000003</v>
      </c>
      <c r="AB40">
        <v>8877019.4220000003</v>
      </c>
      <c r="AC40">
        <v>8877019.4220000003</v>
      </c>
      <c r="AD40">
        <v>8877019.4220000003</v>
      </c>
      <c r="AE40">
        <v>8877019.4220000003</v>
      </c>
      <c r="AF40">
        <v>8877019.4220000003</v>
      </c>
      <c r="AG40">
        <v>8877019.4220000003</v>
      </c>
      <c r="AH40">
        <v>8877019.4220000003</v>
      </c>
      <c r="AK40" s="3" t="str">
        <f ca="1">INDIRECT(ADDRESS(40,2))</f>
        <v>Agriculture</v>
      </c>
      <c r="AL40" s="3">
        <f ca="1">INDIRECT(ADDRESS(40,3))</f>
        <v>8877019.4220000003</v>
      </c>
      <c r="AM40" s="4">
        <f ca="1">IFERROR(INDIRECT(ADDRESS(40,3)) / INDIRECT(ADDRESS(46,3)),0)</f>
        <v>4.0516851547014524E-3</v>
      </c>
      <c r="AN40" s="3">
        <f ca="1">INDIRECT(ADDRESS(40,9))</f>
        <v>8877019.4220000003</v>
      </c>
      <c r="AO40" s="4">
        <f ca="1">IFERROR(INDIRECT(ADDRESS(40,9)) / INDIRECT(ADDRESS(46,9)),0)</f>
        <v>4.0905760867573091E-3</v>
      </c>
      <c r="AP40" s="4">
        <f ca="1">IFERROR((INDIRECT(ADDRESS(40,9)) - INDIRECT(ADDRESS(40,3)))/ INDIRECT(ADDRESS(40,3)),1)</f>
        <v>0</v>
      </c>
      <c r="AQ40" s="3">
        <f ca="1">INDIRECT(ADDRESS(40,14))</f>
        <v>8877019.4220000003</v>
      </c>
      <c r="AR40" s="4">
        <f ca="1">IFERROR(INDIRECT(ADDRESS(40,14)) / INDIRECT(ADDRESS(46,14)),0)</f>
        <v>4.169908224788502E-3</v>
      </c>
      <c r="AS40" s="4">
        <f ca="1">IFERROR((INDIRECT(ADDRESS(40,14)) - INDIRECT(ADDRESS(40,3)))/ INDIRECT(ADDRESS(40,3)),1)</f>
        <v>0</v>
      </c>
      <c r="AT40" s="3">
        <f ca="1">INDIRECT(ADDRESS(40,19))</f>
        <v>8877019.4220000003</v>
      </c>
      <c r="AU40" s="4">
        <f ca="1">IFERROR(INDIRECT(ADDRESS(40,19)) / INDIRECT(ADDRESS(46,19)),0)</f>
        <v>4.1677000957476146E-3</v>
      </c>
      <c r="AV40" s="4">
        <f ca="1">IFERROR((INDIRECT(ADDRESS(40,19)) - INDIRECT(ADDRESS(40,3)))/ INDIRECT(ADDRESS(40,3)),1)</f>
        <v>0</v>
      </c>
      <c r="AW40" s="3">
        <f ca="1">INDIRECT(ADDRESS(40,24))</f>
        <v>8877019.4220000003</v>
      </c>
      <c r="AX40" s="4">
        <f ca="1">IFERROR(INDIRECT(ADDRESS(40,24)) / INDIRECT(ADDRESS(46,24)),0)</f>
        <v>4.1523216825602198E-3</v>
      </c>
      <c r="AY40" s="4">
        <f ca="1">IFERROR((INDIRECT(ADDRESS(40,24)) - INDIRECT(ADDRESS(40,3)))/ INDIRECT(ADDRESS(40,3)),1)</f>
        <v>0</v>
      </c>
      <c r="AZ40" s="3">
        <f ca="1">INDIRECT(ADDRESS(40,29))</f>
        <v>8877019.4220000003</v>
      </c>
      <c r="BA40" s="4">
        <f ca="1">IFERROR(INDIRECT(ADDRESS(40,29)) / INDIRECT(ADDRESS(46,29)),0)</f>
        <v>4.1364932859813642E-3</v>
      </c>
      <c r="BB40" s="4">
        <f ca="1">IFERROR((INDIRECT(ADDRESS(40,29)) - INDIRECT(ADDRESS(40,3)))/ INDIRECT(ADDRESS(40,3)),1)</f>
        <v>0</v>
      </c>
      <c r="BC40" s="3">
        <f ca="1">INDIRECT(ADDRESS(40,34))</f>
        <v>8877019.4220000003</v>
      </c>
      <c r="BD40" s="4">
        <f ca="1">IFERROR(INDIRECT(ADDRESS(40,34)) / INDIRECT(ADDRESS(46,34)),0)</f>
        <v>4.1131499190220234E-3</v>
      </c>
      <c r="BE40" s="4">
        <f ca="1">IFERROR((INDIRECT(ADDRESS(40,34)) - INDIRECT(ADDRESS(40,3)))/ INDIRECT(ADDRESS(40,3)),1)</f>
        <v>0</v>
      </c>
    </row>
    <row r="41" spans="1:57" x14ac:dyDescent="0.25">
      <c r="A41" s="5"/>
      <c r="B41" s="1" t="s">
        <v>23</v>
      </c>
      <c r="C41">
        <v>205953267.586</v>
      </c>
      <c r="D41">
        <v>206365308.965</v>
      </c>
      <c r="E41">
        <v>208638901.09799999</v>
      </c>
      <c r="F41">
        <v>210900619.287</v>
      </c>
      <c r="G41">
        <v>213150531.65000001</v>
      </c>
      <c r="H41">
        <v>215388597.287</v>
      </c>
      <c r="I41">
        <v>217614850.68000001</v>
      </c>
      <c r="J41">
        <v>217927876.35100001</v>
      </c>
      <c r="K41">
        <v>218244098.44299999</v>
      </c>
      <c r="L41">
        <v>218563488.46799999</v>
      </c>
      <c r="M41">
        <v>218885943.873</v>
      </c>
      <c r="N41">
        <v>219211455.66</v>
      </c>
      <c r="O41">
        <v>219217846.829</v>
      </c>
      <c r="P41">
        <v>219221934.227</v>
      </c>
      <c r="Q41">
        <v>219223740.435</v>
      </c>
      <c r="R41">
        <v>219223251.09400001</v>
      </c>
      <c r="S41">
        <v>219220511.792</v>
      </c>
      <c r="T41">
        <v>219048990.204</v>
      </c>
      <c r="U41">
        <v>218875997.19600001</v>
      </c>
      <c r="V41">
        <v>218701523.058</v>
      </c>
      <c r="W41">
        <v>218525587.27900001</v>
      </c>
      <c r="X41">
        <v>218348162.19999999</v>
      </c>
      <c r="Y41">
        <v>218415844.95899999</v>
      </c>
      <c r="Z41">
        <v>218480950.28400001</v>
      </c>
      <c r="AA41">
        <v>218543527.88600001</v>
      </c>
      <c r="AB41">
        <v>218603545.73300001</v>
      </c>
      <c r="AC41">
        <v>218661023.33700001</v>
      </c>
      <c r="AD41">
        <v>218806923.227</v>
      </c>
      <c r="AE41">
        <v>218949835.007</v>
      </c>
      <c r="AF41">
        <v>219089757.847</v>
      </c>
      <c r="AG41">
        <v>219226710.66800001</v>
      </c>
      <c r="AH41">
        <v>219360673.51800001</v>
      </c>
      <c r="AK41" s="3" t="str">
        <f ca="1">INDIRECT(ADDRESS(41,2))</f>
        <v>Commercial</v>
      </c>
      <c r="AL41" s="3">
        <f ca="1">INDIRECT(ADDRESS(41,3))</f>
        <v>205953267.586</v>
      </c>
      <c r="AM41" s="4">
        <f ca="1">IFERROR(INDIRECT(ADDRESS(41,3)) / INDIRECT(ADDRESS(46,3)),0)</f>
        <v>9.4002024460192971E-2</v>
      </c>
      <c r="AN41" s="3">
        <f ca="1">INDIRECT(ADDRESS(41,9))</f>
        <v>217614850.68000001</v>
      </c>
      <c r="AO41" s="4">
        <f ca="1">IFERROR(INDIRECT(ADDRESS(41,9)) / INDIRECT(ADDRESS(46,9)),0)</f>
        <v>0.10027803950825585</v>
      </c>
      <c r="AP41" s="4">
        <f ca="1">IFERROR((INDIRECT(ADDRESS(41,9)) - INDIRECT(ADDRESS(41,3)))/ INDIRECT(ADDRESS(41,3)),1)</f>
        <v>5.6622471838814012E-2</v>
      </c>
      <c r="AQ41" s="3">
        <f ca="1">INDIRECT(ADDRESS(41,14))</f>
        <v>219211455.66</v>
      </c>
      <c r="AR41" s="4">
        <f ca="1">IFERROR(INDIRECT(ADDRESS(41,14)) / INDIRECT(ADDRESS(46,14)),0)</f>
        <v>0.10297281198451499</v>
      </c>
      <c r="AS41" s="4">
        <f ca="1">IFERROR((INDIRECT(ADDRESS(41,14)) - INDIRECT(ADDRESS(41,3)))/ INDIRECT(ADDRESS(41,3)),1)</f>
        <v>6.4374740101968878E-2</v>
      </c>
      <c r="AT41" s="3">
        <f ca="1">INDIRECT(ADDRESS(41,19))</f>
        <v>219220511.792</v>
      </c>
      <c r="AU41" s="4">
        <f ca="1">IFERROR(INDIRECT(ADDRESS(41,19)) / INDIRECT(ADDRESS(46,19)),0)</f>
        <v>0.10292253565662633</v>
      </c>
      <c r="AV41" s="4">
        <f ca="1">IFERROR((INDIRECT(ADDRESS(41,19)) - INDIRECT(ADDRESS(41,3)))/ INDIRECT(ADDRESS(41,3)),1)</f>
        <v>6.4418711883073146E-2</v>
      </c>
      <c r="AW41" s="3">
        <f ca="1">INDIRECT(ADDRESS(41,24))</f>
        <v>218348162.19999999</v>
      </c>
      <c r="AX41" s="4">
        <f ca="1">IFERROR(INDIRECT(ADDRESS(41,24)) / INDIRECT(ADDRESS(46,24)),0)</f>
        <v>0.10213471044157817</v>
      </c>
      <c r="AY41" s="4">
        <f ca="1">IFERROR((INDIRECT(ADDRESS(41,24)) - INDIRECT(ADDRESS(41,3)))/ INDIRECT(ADDRESS(41,3)),1)</f>
        <v>6.0183044237568366E-2</v>
      </c>
      <c r="AZ41" s="3">
        <f ca="1">INDIRECT(ADDRESS(41,29))</f>
        <v>218661023.33700001</v>
      </c>
      <c r="BA41" s="4">
        <f ca="1">IFERROR(INDIRECT(ADDRESS(41,29)) / INDIRECT(ADDRESS(46,29)),0)</f>
        <v>0.10189116548485962</v>
      </c>
      <c r="BB41" s="4">
        <f ca="1">IFERROR((INDIRECT(ADDRESS(41,29)) - INDIRECT(ADDRESS(41,3)))/ INDIRECT(ADDRESS(41,3)),1)</f>
        <v>6.1702132235865757E-2</v>
      </c>
      <c r="BC41" s="3">
        <f ca="1">INDIRECT(ADDRESS(41,34))</f>
        <v>219360673.51800001</v>
      </c>
      <c r="BD41" s="4">
        <f ca="1">IFERROR(INDIRECT(ADDRESS(41,34)) / INDIRECT(ADDRESS(46,34)),0)</f>
        <v>0.10164034724099967</v>
      </c>
      <c r="BE41" s="4">
        <f ca="1">IFERROR((INDIRECT(ADDRESS(41,34)) - INDIRECT(ADDRESS(41,3)))/ INDIRECT(ADDRESS(41,3)),1)</f>
        <v>6.5099262998590077E-2</v>
      </c>
    </row>
    <row r="42" spans="1:57" x14ac:dyDescent="0.25">
      <c r="A42" s="5"/>
      <c r="B42" s="1" t="s">
        <v>24</v>
      </c>
      <c r="C42">
        <v>701026638.59179997</v>
      </c>
      <c r="D42">
        <v>701026628.59179997</v>
      </c>
      <c r="E42">
        <v>701026638.6918</v>
      </c>
      <c r="F42">
        <v>701026638.59179997</v>
      </c>
      <c r="G42">
        <v>701026638.59179997</v>
      </c>
      <c r="H42">
        <v>701026638.59179997</v>
      </c>
      <c r="I42">
        <v>701026628.59179997</v>
      </c>
      <c r="J42">
        <v>701026638.6918</v>
      </c>
      <c r="K42">
        <v>701026628.59179997</v>
      </c>
      <c r="L42">
        <v>701026638.59179997</v>
      </c>
      <c r="M42">
        <v>701026628.58179998</v>
      </c>
      <c r="N42">
        <v>701026638.6918</v>
      </c>
      <c r="O42">
        <v>701026638.59179997</v>
      </c>
      <c r="P42">
        <v>701026638.59179997</v>
      </c>
      <c r="Q42">
        <v>701026638.6918</v>
      </c>
      <c r="R42">
        <v>701026638.59179997</v>
      </c>
      <c r="S42">
        <v>701026628.58179998</v>
      </c>
      <c r="T42">
        <v>701026638.59179997</v>
      </c>
      <c r="U42">
        <v>701026638.59179997</v>
      </c>
      <c r="V42">
        <v>701026628.59179997</v>
      </c>
      <c r="W42">
        <v>701026638.59179997</v>
      </c>
      <c r="X42">
        <v>701026638.6918</v>
      </c>
      <c r="Y42">
        <v>701026628.59179997</v>
      </c>
      <c r="Z42">
        <v>701026638.6918</v>
      </c>
      <c r="AA42">
        <v>701026638.59179997</v>
      </c>
      <c r="AB42">
        <v>701026638.6918</v>
      </c>
      <c r="AC42">
        <v>701026638.59179997</v>
      </c>
      <c r="AD42">
        <v>701026638.6918</v>
      </c>
      <c r="AE42">
        <v>701026638.6918</v>
      </c>
      <c r="AF42">
        <v>701026648.6918</v>
      </c>
      <c r="AG42">
        <v>701026638.6918</v>
      </c>
      <c r="AH42">
        <v>701026638.6918</v>
      </c>
      <c r="AK42" s="3" t="str">
        <f ca="1">INDIRECT(ADDRESS(42,2))</f>
        <v>Energy Production</v>
      </c>
      <c r="AL42" s="3">
        <f ca="1">INDIRECT(ADDRESS(42,3))</f>
        <v>701026638.59179997</v>
      </c>
      <c r="AM42" s="4">
        <f ca="1">IFERROR(INDIRECT(ADDRESS(42,3)) / INDIRECT(ADDRESS(46,3)),0)</f>
        <v>0.31996541740050916</v>
      </c>
      <c r="AN42" s="3">
        <f ca="1">INDIRECT(ADDRESS(42,9))</f>
        <v>701026628.59179997</v>
      </c>
      <c r="AO42" s="4">
        <f ca="1">IFERROR(INDIRECT(ADDRESS(42,9)) / INDIRECT(ADDRESS(46,9)),0)</f>
        <v>0.32303666656298036</v>
      </c>
      <c r="AP42" s="4">
        <f ca="1">IFERROR((INDIRECT(ADDRESS(42,9)) - INDIRECT(ADDRESS(42,3)))/ INDIRECT(ADDRESS(42,3)),1)</f>
        <v>-1.4264793161195246E-8</v>
      </c>
      <c r="AQ42" s="3">
        <f ca="1">INDIRECT(ADDRESS(42,14))</f>
        <v>701026638.6918</v>
      </c>
      <c r="AR42" s="4">
        <f ca="1">IFERROR(INDIRECT(ADDRESS(42,14)) / INDIRECT(ADDRESS(46,14)),0)</f>
        <v>0.32930160536003095</v>
      </c>
      <c r="AS42" s="4">
        <f ca="1">IFERROR((INDIRECT(ADDRESS(42,14)) - INDIRECT(ADDRESS(42,3)))/ INDIRECT(ADDRESS(42,3)),1)</f>
        <v>1.4264796562186963E-10</v>
      </c>
      <c r="AT42" s="3">
        <f ca="1">INDIRECT(ADDRESS(42,19))</f>
        <v>701026628.58179998</v>
      </c>
      <c r="AU42" s="4">
        <f ca="1">IFERROR(INDIRECT(ADDRESS(42,19)) / INDIRECT(ADDRESS(46,19)),0)</f>
        <v>0.32912722256990862</v>
      </c>
      <c r="AV42" s="4">
        <f ca="1">IFERROR((INDIRECT(ADDRESS(42,19)) - INDIRECT(ADDRESS(42,3)))/ INDIRECT(ADDRESS(42,3)),1)</f>
        <v>-1.4279057940752474E-8</v>
      </c>
      <c r="AW42" s="3">
        <f ca="1">INDIRECT(ADDRESS(42,24))</f>
        <v>701026638.6918</v>
      </c>
      <c r="AX42" s="4">
        <f ca="1">IFERROR(INDIRECT(ADDRESS(42,24)) / INDIRECT(ADDRESS(46,24)),0)</f>
        <v>0.32791277944916836</v>
      </c>
      <c r="AY42" s="4">
        <f ca="1">IFERROR((INDIRECT(ADDRESS(42,24)) - INDIRECT(ADDRESS(42,3)))/ INDIRECT(ADDRESS(42,3)),1)</f>
        <v>1.4264796562186963E-10</v>
      </c>
      <c r="AZ42" s="3">
        <f ca="1">INDIRECT(ADDRESS(42,29))</f>
        <v>701026638.59179997</v>
      </c>
      <c r="BA42" s="4">
        <f ca="1">IFERROR(INDIRECT(ADDRESS(42,29)) / INDIRECT(ADDRESS(46,29)),0)</f>
        <v>0.32666279592027064</v>
      </c>
      <c r="BB42" s="4">
        <f ca="1">IFERROR((INDIRECT(ADDRESS(42,29)) - INDIRECT(ADDRESS(42,3)))/ INDIRECT(ADDRESS(42,3)),1)</f>
        <v>0</v>
      </c>
      <c r="BC42" s="3">
        <f ca="1">INDIRECT(ADDRESS(42,34))</f>
        <v>701026638.6918</v>
      </c>
      <c r="BD42" s="4">
        <f ca="1">IFERROR(INDIRECT(ADDRESS(42,34)) / INDIRECT(ADDRESS(46,34)),0)</f>
        <v>0.32481934814983421</v>
      </c>
      <c r="BE42" s="4">
        <f ca="1">IFERROR((INDIRECT(ADDRESS(42,34)) - INDIRECT(ADDRESS(42,3)))/ INDIRECT(ADDRESS(42,3)),1)</f>
        <v>1.4264796562186963E-10</v>
      </c>
    </row>
    <row r="43" spans="1:57" x14ac:dyDescent="0.25">
      <c r="A43" s="5"/>
      <c r="B43" s="1" t="s">
        <v>26</v>
      </c>
      <c r="C43">
        <v>424886232.45700002</v>
      </c>
      <c r="D43">
        <v>424886232.54400003</v>
      </c>
      <c r="E43">
        <v>424886233.71899998</v>
      </c>
      <c r="F43">
        <v>424886228.21799999</v>
      </c>
      <c r="G43">
        <v>424886230.47600001</v>
      </c>
      <c r="H43">
        <v>424886235.17900002</v>
      </c>
      <c r="I43">
        <v>424886233.79699999</v>
      </c>
      <c r="J43">
        <v>425067001.01599997</v>
      </c>
      <c r="K43">
        <v>425247782.21700001</v>
      </c>
      <c r="L43">
        <v>425428549.01599997</v>
      </c>
      <c r="M43">
        <v>425609335.29500002</v>
      </c>
      <c r="N43">
        <v>425790101.24900001</v>
      </c>
      <c r="O43">
        <v>426211914.273</v>
      </c>
      <c r="P43">
        <v>426633714.61299998</v>
      </c>
      <c r="Q43">
        <v>427055524.05500001</v>
      </c>
      <c r="R43">
        <v>427477326.04400003</v>
      </c>
      <c r="S43">
        <v>427899147.25</v>
      </c>
      <c r="T43">
        <v>428577043.44199997</v>
      </c>
      <c r="U43">
        <v>429254959.97000003</v>
      </c>
      <c r="V43">
        <v>429932869.92500001</v>
      </c>
      <c r="W43">
        <v>430610778.53799999</v>
      </c>
      <c r="X43">
        <v>431288667.56699997</v>
      </c>
      <c r="Y43">
        <v>431657755.71600002</v>
      </c>
      <c r="Z43">
        <v>432026834.85000002</v>
      </c>
      <c r="AA43">
        <v>432395933.86000001</v>
      </c>
      <c r="AB43">
        <v>432765004.91000003</v>
      </c>
      <c r="AC43">
        <v>433134076.667</v>
      </c>
      <c r="AD43">
        <v>433277204.35500002</v>
      </c>
      <c r="AE43">
        <v>433420313.93800002</v>
      </c>
      <c r="AF43">
        <v>433563442.41900003</v>
      </c>
      <c r="AG43">
        <v>433706543.85100001</v>
      </c>
      <c r="AH43">
        <v>433849645.77899998</v>
      </c>
      <c r="AK43" s="3" t="str">
        <f ca="1">INDIRECT(ADDRESS(43,2))</f>
        <v>Industrial</v>
      </c>
      <c r="AL43" s="3">
        <f ca="1">INDIRECT(ADDRESS(43,3))</f>
        <v>424886232.45700002</v>
      </c>
      <c r="AM43" s="4">
        <f ca="1">IFERROR(INDIRECT(ADDRESS(43,3)) / INDIRECT(ADDRESS(46,3)),0)</f>
        <v>0.19392829492032371</v>
      </c>
      <c r="AN43" s="3">
        <f ca="1">INDIRECT(ADDRESS(43,9))</f>
        <v>424886233.79699999</v>
      </c>
      <c r="AO43" s="4">
        <f ca="1">IFERROR(INDIRECT(ADDRESS(43,9)) / INDIRECT(ADDRESS(46,9)),0)</f>
        <v>0.19578975610383464</v>
      </c>
      <c r="AP43" s="4">
        <f ca="1">IFERROR((INDIRECT(ADDRESS(43,9)) - INDIRECT(ADDRESS(43,3)))/ INDIRECT(ADDRESS(43,3)),1)</f>
        <v>3.1537853463151903E-9</v>
      </c>
      <c r="AQ43" s="3">
        <f ca="1">INDIRECT(ADDRESS(43,14))</f>
        <v>425790101.24900001</v>
      </c>
      <c r="AR43" s="4">
        <f ca="1">IFERROR(INDIRECT(ADDRESS(43,14)) / INDIRECT(ADDRESS(46,14)),0)</f>
        <v>0.20001146340082143</v>
      </c>
      <c r="AS43" s="4">
        <f ca="1">IFERROR((INDIRECT(ADDRESS(43,14)) - INDIRECT(ADDRESS(43,3)))/ INDIRECT(ADDRESS(43,3)),1)</f>
        <v>2.1273195574569963E-3</v>
      </c>
      <c r="AT43" s="3">
        <f ca="1">INDIRECT(ADDRESS(43,19))</f>
        <v>427899147.25</v>
      </c>
      <c r="AU43" s="4">
        <f ca="1">IFERROR(INDIRECT(ADDRESS(43,19)) / INDIRECT(ADDRESS(46,19)),0)</f>
        <v>0.20089573224819601</v>
      </c>
      <c r="AV43" s="4">
        <f ca="1">IFERROR((INDIRECT(ADDRESS(43,19)) - INDIRECT(ADDRESS(43,3)))/ INDIRECT(ADDRESS(43,3)),1)</f>
        <v>7.0911094849487747E-3</v>
      </c>
      <c r="AW43" s="3">
        <f ca="1">INDIRECT(ADDRESS(43,24))</f>
        <v>431288667.56699997</v>
      </c>
      <c r="AX43" s="4">
        <f ca="1">IFERROR(INDIRECT(ADDRESS(43,24)) / INDIRECT(ADDRESS(46,24)),0)</f>
        <v>0.20173993101137999</v>
      </c>
      <c r="AY43" s="4">
        <f ca="1">IFERROR((INDIRECT(ADDRESS(43,24)) - INDIRECT(ADDRESS(43,3)))/ INDIRECT(ADDRESS(43,3)),1)</f>
        <v>1.5068586884956089E-2</v>
      </c>
      <c r="AZ43" s="3">
        <f ca="1">INDIRECT(ADDRESS(43,29))</f>
        <v>433134076.667</v>
      </c>
      <c r="BA43" s="4">
        <f ca="1">IFERROR(INDIRECT(ADDRESS(43,29)) / INDIRECT(ADDRESS(46,29)),0)</f>
        <v>0.20183083024720039</v>
      </c>
      <c r="BB43" s="4">
        <f ca="1">IFERROR((INDIRECT(ADDRESS(43,29)) - INDIRECT(ADDRESS(43,3)))/ INDIRECT(ADDRESS(43,3)),1)</f>
        <v>1.9411888594989223E-2</v>
      </c>
      <c r="BC43" s="3">
        <f ca="1">INDIRECT(ADDRESS(43,34))</f>
        <v>433849645.77899998</v>
      </c>
      <c r="BD43" s="4">
        <f ca="1">IFERROR(INDIRECT(ADDRESS(43,34)) / INDIRECT(ADDRESS(46,34)),0)</f>
        <v>0.20102340105070768</v>
      </c>
      <c r="BE43" s="4">
        <f ca="1">IFERROR((INDIRECT(ADDRESS(43,34)) - INDIRECT(ADDRESS(43,3)))/ INDIRECT(ADDRESS(43,3)),1)</f>
        <v>2.1096031448623358E-2</v>
      </c>
    </row>
    <row r="44" spans="1:57" x14ac:dyDescent="0.25">
      <c r="A44" s="5"/>
      <c r="B44" s="1" t="s">
        <v>27</v>
      </c>
      <c r="C44">
        <v>259975762.697</v>
      </c>
      <c r="D44">
        <v>260871758.493</v>
      </c>
      <c r="E44">
        <v>260954955.542</v>
      </c>
      <c r="F44">
        <v>261868120.574</v>
      </c>
      <c r="G44">
        <v>262838513.5</v>
      </c>
      <c r="H44">
        <v>263821852.40000001</v>
      </c>
      <c r="I44">
        <v>264797123.64399999</v>
      </c>
      <c r="J44">
        <v>265608042.71700001</v>
      </c>
      <c r="K44">
        <v>266435631.26899999</v>
      </c>
      <c r="L44">
        <v>267296540.53400001</v>
      </c>
      <c r="M44">
        <v>268191790.778</v>
      </c>
      <c r="N44">
        <v>269121745.81099999</v>
      </c>
      <c r="O44">
        <v>269929233.61500001</v>
      </c>
      <c r="P44">
        <v>270731192.45200002</v>
      </c>
      <c r="Q44">
        <v>271511955.37900001</v>
      </c>
      <c r="R44">
        <v>272270071.38700002</v>
      </c>
      <c r="S44">
        <v>273011629.76599997</v>
      </c>
      <c r="T44">
        <v>273513615.88200003</v>
      </c>
      <c r="U44">
        <v>274008512.48699999</v>
      </c>
      <c r="V44">
        <v>274497320.68099999</v>
      </c>
      <c r="W44">
        <v>274980315.50700003</v>
      </c>
      <c r="X44">
        <v>275457571.06900001</v>
      </c>
      <c r="Y44">
        <v>275766371.18800002</v>
      </c>
      <c r="Z44">
        <v>276070283.46399999</v>
      </c>
      <c r="AA44">
        <v>276369370.95700002</v>
      </c>
      <c r="AB44">
        <v>276664364.71700001</v>
      </c>
      <c r="AC44">
        <v>276965787.43300003</v>
      </c>
      <c r="AD44">
        <v>277172111.49900001</v>
      </c>
      <c r="AE44">
        <v>277390630.66299999</v>
      </c>
      <c r="AF44">
        <v>277617589.76700002</v>
      </c>
      <c r="AG44">
        <v>277846177.93699998</v>
      </c>
      <c r="AH44">
        <v>278073921.43699998</v>
      </c>
      <c r="AK44" s="3" t="str">
        <f ca="1">INDIRECT(ADDRESS(44,2))</f>
        <v>Residential</v>
      </c>
      <c r="AL44" s="3">
        <f ca="1">INDIRECT(ADDRESS(44,3))</f>
        <v>259975762.697</v>
      </c>
      <c r="AM44" s="4">
        <f ca="1">IFERROR(INDIRECT(ADDRESS(44,3)) / INDIRECT(ADDRESS(46,3)),0)</f>
        <v>0.11865919045880652</v>
      </c>
      <c r="AN44" s="3">
        <f ca="1">INDIRECT(ADDRESS(44,9))</f>
        <v>264797123.64399999</v>
      </c>
      <c r="AO44" s="4">
        <f ca="1">IFERROR(INDIRECT(ADDRESS(44,9)) / INDIRECT(ADDRESS(46,9)),0)</f>
        <v>0.12201987292444438</v>
      </c>
      <c r="AP44" s="4">
        <f ca="1">IFERROR((INDIRECT(ADDRESS(44,9)) - INDIRECT(ADDRESS(44,3)))/ INDIRECT(ADDRESS(44,3)),1)</f>
        <v>1.8545424761843128E-2</v>
      </c>
      <c r="AQ44" s="3">
        <f ca="1">INDIRECT(ADDRESS(44,14))</f>
        <v>269121745.81099999</v>
      </c>
      <c r="AR44" s="4">
        <f ca="1">IFERROR(INDIRECT(ADDRESS(44,14)) / INDIRECT(ADDRESS(46,14)),0)</f>
        <v>0.12641776794421994</v>
      </c>
      <c r="AS44" s="4">
        <f ca="1">IFERROR((INDIRECT(ADDRESS(44,14)) - INDIRECT(ADDRESS(44,3)))/ INDIRECT(ADDRESS(44,3)),1)</f>
        <v>3.5180137637136483E-2</v>
      </c>
      <c r="AT44" s="3">
        <f ca="1">INDIRECT(ADDRESS(44,19))</f>
        <v>273011629.76599997</v>
      </c>
      <c r="AU44" s="4">
        <f ca="1">IFERROR(INDIRECT(ADDRESS(44,19)) / INDIRECT(ADDRESS(46,19)),0)</f>
        <v>0.12817709880143716</v>
      </c>
      <c r="AV44" s="4">
        <f ca="1">IFERROR((INDIRECT(ADDRESS(44,19)) - INDIRECT(ADDRESS(44,3)))/ INDIRECT(ADDRESS(44,3)),1)</f>
        <v>5.0142624580712128E-2</v>
      </c>
      <c r="AW44" s="3">
        <f ca="1">INDIRECT(ADDRESS(44,24))</f>
        <v>275457571.06900001</v>
      </c>
      <c r="AX44" s="4">
        <f ca="1">IFERROR(INDIRECT(ADDRESS(44,24)) / INDIRECT(ADDRESS(46,24)),0)</f>
        <v>0.12884825306797457</v>
      </c>
      <c r="AY44" s="4">
        <f ca="1">IFERROR((INDIRECT(ADDRESS(44,24)) - INDIRECT(ADDRESS(44,3)))/ INDIRECT(ADDRESS(44,3)),1)</f>
        <v>5.9550968180229757E-2</v>
      </c>
      <c r="AZ44" s="3">
        <f ca="1">INDIRECT(ADDRESS(44,29))</f>
        <v>276965787.43300003</v>
      </c>
      <c r="BA44" s="4">
        <f ca="1">IFERROR(INDIRECT(ADDRESS(44,29)) / INDIRECT(ADDRESS(46,29)),0)</f>
        <v>0.12905988662408791</v>
      </c>
      <c r="BB44" s="4">
        <f ca="1">IFERROR((INDIRECT(ADDRESS(44,29)) - INDIRECT(ADDRESS(44,3)))/ INDIRECT(ADDRESS(44,3)),1)</f>
        <v>6.5352341155747631E-2</v>
      </c>
      <c r="BC44" s="3">
        <f ca="1">INDIRECT(ADDRESS(44,34))</f>
        <v>278073921.43699998</v>
      </c>
      <c r="BD44" s="4">
        <f ca="1">IFERROR(INDIRECT(ADDRESS(44,34)) / INDIRECT(ADDRESS(46,34)),0)</f>
        <v>0.12884501802554835</v>
      </c>
      <c r="BE44" s="4">
        <f ca="1">IFERROR((INDIRECT(ADDRESS(44,34)) - INDIRECT(ADDRESS(44,3)))/ INDIRECT(ADDRESS(44,3)),1)</f>
        <v>6.9614792364676173E-2</v>
      </c>
    </row>
    <row r="45" spans="1:57" x14ac:dyDescent="0.25">
      <c r="A45" s="5"/>
      <c r="B45" s="1" t="s">
        <v>28</v>
      </c>
      <c r="C45">
        <v>590226101.63999999</v>
      </c>
      <c r="D45">
        <v>582766960.03999996</v>
      </c>
      <c r="E45">
        <v>582948591.34000003</v>
      </c>
      <c r="F45">
        <v>579537050.34000003</v>
      </c>
      <c r="G45">
        <v>577223367.34000003</v>
      </c>
      <c r="H45">
        <v>571302352.34000003</v>
      </c>
      <c r="I45">
        <v>552912874.34000003</v>
      </c>
      <c r="J45">
        <v>542716151.34000003</v>
      </c>
      <c r="K45">
        <v>531525035.33999997</v>
      </c>
      <c r="L45">
        <v>520395565.33999997</v>
      </c>
      <c r="M45">
        <v>510628265.33999997</v>
      </c>
      <c r="N45">
        <v>504801527.33999997</v>
      </c>
      <c r="O45">
        <v>501495698.33999997</v>
      </c>
      <c r="P45">
        <v>500517662.33999997</v>
      </c>
      <c r="Q45">
        <v>500689958.33999997</v>
      </c>
      <c r="R45">
        <v>499049384.33999997</v>
      </c>
      <c r="S45">
        <v>499921446.33999997</v>
      </c>
      <c r="T45">
        <v>500140573.33999997</v>
      </c>
      <c r="U45">
        <v>500330623.33999997</v>
      </c>
      <c r="V45">
        <v>500714937.33999997</v>
      </c>
      <c r="W45">
        <v>501572197.33999997</v>
      </c>
      <c r="X45">
        <v>502846766.33999997</v>
      </c>
      <c r="Y45">
        <v>503835522.33999997</v>
      </c>
      <c r="Z45">
        <v>504690820.33999997</v>
      </c>
      <c r="AA45">
        <v>505475292.33999997</v>
      </c>
      <c r="AB45">
        <v>506330309.33999997</v>
      </c>
      <c r="AC45">
        <v>507360797.33999997</v>
      </c>
      <c r="AD45">
        <v>508666375.33999997</v>
      </c>
      <c r="AE45">
        <v>510301145.33999997</v>
      </c>
      <c r="AF45">
        <v>512282921.33999997</v>
      </c>
      <c r="AG45">
        <v>514574729.33999997</v>
      </c>
      <c r="AH45">
        <v>517016785.33999997</v>
      </c>
      <c r="AK45" s="3" t="str">
        <f ca="1">INDIRECT(ADDRESS(45,2))</f>
        <v>Transportation</v>
      </c>
      <c r="AL45" s="3">
        <f ca="1">INDIRECT(ADDRESS(45,3))</f>
        <v>590226101.63999999</v>
      </c>
      <c r="AM45" s="4">
        <f ca="1">IFERROR(INDIRECT(ADDRESS(45,3)) / INDIRECT(ADDRESS(46,3)),0)</f>
        <v>0.26939338760546633</v>
      </c>
      <c r="AN45" s="3">
        <f ca="1">INDIRECT(ADDRESS(45,9))</f>
        <v>552912874.34000003</v>
      </c>
      <c r="AO45" s="4">
        <f ca="1">IFERROR(INDIRECT(ADDRESS(45,9)) / INDIRECT(ADDRESS(46,9)),0)</f>
        <v>0.25478508881372741</v>
      </c>
      <c r="AP45" s="4">
        <f ca="1">IFERROR((INDIRECT(ADDRESS(45,9)) - INDIRECT(ADDRESS(45,3)))/ INDIRECT(ADDRESS(45,3)),1)</f>
        <v>-6.3218531332859665E-2</v>
      </c>
      <c r="AQ45" s="3">
        <f ca="1">INDIRECT(ADDRESS(45,14))</f>
        <v>504801527.33999997</v>
      </c>
      <c r="AR45" s="4">
        <f ca="1">IFERROR(INDIRECT(ADDRESS(45,14)) / INDIRECT(ADDRESS(46,14)),0)</f>
        <v>0.23712644308562419</v>
      </c>
      <c r="AS45" s="4">
        <f ca="1">IFERROR((INDIRECT(ADDRESS(45,14)) - INDIRECT(ADDRESS(45,3)))/ INDIRECT(ADDRESS(45,3)),1)</f>
        <v>-0.14473194943876527</v>
      </c>
      <c r="AT45" s="3">
        <f ca="1">INDIRECT(ADDRESS(45,19))</f>
        <v>499921446.33999997</v>
      </c>
      <c r="AU45" s="4">
        <f ca="1">IFERROR(INDIRECT(ADDRESS(45,19)) / INDIRECT(ADDRESS(46,19)),0)</f>
        <v>0.23470971062808429</v>
      </c>
      <c r="AV45" s="4">
        <f ca="1">IFERROR((INDIRECT(ADDRESS(45,19)) - INDIRECT(ADDRESS(45,3)))/ INDIRECT(ADDRESS(45,3)),1)</f>
        <v>-0.15300010461936508</v>
      </c>
      <c r="AW45" s="3">
        <f ca="1">INDIRECT(ADDRESS(45,24))</f>
        <v>502846766.33999997</v>
      </c>
      <c r="AX45" s="4">
        <f ca="1">IFERROR(INDIRECT(ADDRESS(45,24)) / INDIRECT(ADDRESS(46,24)),0)</f>
        <v>0.23521200434733872</v>
      </c>
      <c r="AY45" s="4">
        <f ca="1">IFERROR((INDIRECT(ADDRESS(45,24)) - INDIRECT(ADDRESS(45,3)))/ INDIRECT(ADDRESS(45,3)),1)</f>
        <v>-0.14804383448513736</v>
      </c>
      <c r="AZ45" s="3">
        <f ca="1">INDIRECT(ADDRESS(45,29))</f>
        <v>507360797.33999997</v>
      </c>
      <c r="BA45" s="4">
        <f ca="1">IFERROR(INDIRECT(ADDRESS(45,29)) / INDIRECT(ADDRESS(46,29)),0)</f>
        <v>0.23641882843760004</v>
      </c>
      <c r="BB45" s="4">
        <f ca="1">IFERROR((INDIRECT(ADDRESS(45,29)) - INDIRECT(ADDRESS(45,3)))/ INDIRECT(ADDRESS(45,3)),1)</f>
        <v>-0.14039586536371534</v>
      </c>
      <c r="BC45" s="3">
        <f ca="1">INDIRECT(ADDRESS(45,34))</f>
        <v>517016785.33999997</v>
      </c>
      <c r="BD45" s="4">
        <f ca="1">IFERROR(INDIRECT(ADDRESS(45,34)) / INDIRECT(ADDRESS(46,34)),0)</f>
        <v>0.23955873561388807</v>
      </c>
      <c r="BE45" s="4">
        <f ca="1">IFERROR((INDIRECT(ADDRESS(45,34)) - INDIRECT(ADDRESS(45,3)))/ INDIRECT(ADDRESS(45,3)),1)</f>
        <v>-0.12403605346591906</v>
      </c>
    </row>
    <row r="46" spans="1:57" x14ac:dyDescent="0.25">
      <c r="A46" s="1" t="s">
        <v>21</v>
      </c>
      <c r="B46" s="1"/>
      <c r="C46">
        <v>2190945022.3937998</v>
      </c>
      <c r="D46">
        <v>2184793908.0558</v>
      </c>
      <c r="E46">
        <v>2187332339.8127999</v>
      </c>
      <c r="F46">
        <v>2187095676.4327998</v>
      </c>
      <c r="G46">
        <v>2188002300.9798002</v>
      </c>
      <c r="H46">
        <v>2185302695.2198</v>
      </c>
      <c r="I46">
        <v>2170114730.4748001</v>
      </c>
      <c r="J46">
        <v>2161222729.5377998</v>
      </c>
      <c r="K46">
        <v>2151356195.2828002</v>
      </c>
      <c r="L46">
        <v>2141587801.3717999</v>
      </c>
      <c r="M46">
        <v>2133218983.2897999</v>
      </c>
      <c r="N46">
        <v>2128828488.1738</v>
      </c>
      <c r="O46">
        <v>2126758351.0708001</v>
      </c>
      <c r="P46">
        <v>2127008161.6458001</v>
      </c>
      <c r="Q46">
        <v>2128384836.3227999</v>
      </c>
      <c r="R46">
        <v>2127923690.8787999</v>
      </c>
      <c r="S46">
        <v>2129956383.1517999</v>
      </c>
      <c r="T46">
        <v>2131183880.8817999</v>
      </c>
      <c r="U46">
        <v>2132373751.0067999</v>
      </c>
      <c r="V46">
        <v>2133750299.0178001</v>
      </c>
      <c r="W46">
        <v>2135592536.6777999</v>
      </c>
      <c r="X46">
        <v>2137844825.2897999</v>
      </c>
      <c r="Y46">
        <v>2139579142.2168</v>
      </c>
      <c r="Z46">
        <v>2141172547.0518</v>
      </c>
      <c r="AA46">
        <v>2142687783.0567999</v>
      </c>
      <c r="AB46">
        <v>2144266882.8138001</v>
      </c>
      <c r="AC46">
        <v>2146025342.7908001</v>
      </c>
      <c r="AD46">
        <v>2147826272.5348001</v>
      </c>
      <c r="AE46">
        <v>2149965583.0618</v>
      </c>
      <c r="AF46">
        <v>2152457379.4868002</v>
      </c>
      <c r="AG46">
        <v>2155257819.9098001</v>
      </c>
      <c r="AH46">
        <v>2158204684.1877999</v>
      </c>
    </row>
    <row r="49" spans="1:57" x14ac:dyDescent="0.25">
      <c r="A49" s="1" t="s">
        <v>0</v>
      </c>
      <c r="B49" s="1" t="s">
        <v>82</v>
      </c>
      <c r="C49" s="1">
        <v>2019</v>
      </c>
      <c r="D49" s="1">
        <v>2020</v>
      </c>
      <c r="E49" s="1">
        <v>2021</v>
      </c>
      <c r="F49" s="1">
        <v>2022</v>
      </c>
      <c r="G49" s="1">
        <v>2023</v>
      </c>
      <c r="H49" s="1">
        <v>2024</v>
      </c>
      <c r="I49" s="1">
        <v>2025</v>
      </c>
      <c r="J49" s="1">
        <v>2026</v>
      </c>
      <c r="K49" s="1">
        <v>2027</v>
      </c>
      <c r="L49" s="1">
        <v>2028</v>
      </c>
      <c r="M49" s="1">
        <v>2029</v>
      </c>
      <c r="N49" s="1">
        <v>2030</v>
      </c>
      <c r="O49" s="1">
        <v>2031</v>
      </c>
      <c r="P49" s="1">
        <v>2032</v>
      </c>
      <c r="Q49" s="1">
        <v>2033</v>
      </c>
      <c r="R49" s="1">
        <v>2034</v>
      </c>
      <c r="S49" s="1">
        <v>2035</v>
      </c>
      <c r="T49" s="1">
        <v>2036</v>
      </c>
      <c r="U49" s="1">
        <v>2037</v>
      </c>
      <c r="V49" s="1">
        <v>2038</v>
      </c>
      <c r="W49" s="1">
        <v>2039</v>
      </c>
      <c r="X49" s="1">
        <v>2040</v>
      </c>
      <c r="Y49" s="1">
        <v>2041</v>
      </c>
      <c r="Z49" s="1">
        <v>2042</v>
      </c>
      <c r="AA49" s="1">
        <v>2043</v>
      </c>
      <c r="AB49" s="1">
        <v>2044</v>
      </c>
      <c r="AC49" s="1">
        <v>2045</v>
      </c>
      <c r="AD49" s="1">
        <v>2046</v>
      </c>
      <c r="AE49" s="1">
        <v>2047</v>
      </c>
      <c r="AF49" s="1">
        <v>2048</v>
      </c>
      <c r="AG49" s="1">
        <v>2049</v>
      </c>
      <c r="AH49" s="1">
        <v>2050</v>
      </c>
      <c r="AL49" s="2">
        <f ca="1">INDIRECT(ADDRESS(49,3))</f>
        <v>2019</v>
      </c>
      <c r="AM49" s="2" t="str">
        <f ca="1">CONCATENATE(INDIRECT(ADDRESS(49,3))," Share")</f>
        <v>2019 Share</v>
      </c>
      <c r="AN49" s="2">
        <f ca="1">INDIRECT(ADDRESS(49,9))</f>
        <v>2025</v>
      </c>
      <c r="AO49" s="2" t="str">
        <f ca="1">CONCATENATE(INDIRECT(ADDRESS(49,9))," Share")</f>
        <v>2025 Share</v>
      </c>
      <c r="AP49" s="2" t="str">
        <f ca="1">CONCATENATE("% change ",INDIRECT(ADDRESS(49,3)),"-",INDIRECT(ADDRESS(49,9)))</f>
        <v>% change 2019-2025</v>
      </c>
      <c r="AQ49" s="2">
        <f ca="1">INDIRECT(ADDRESS(49,14))</f>
        <v>2030</v>
      </c>
      <c r="AR49" s="2" t="str">
        <f ca="1">CONCATENATE(INDIRECT(ADDRESS(49,14))," Share")</f>
        <v>2030 Share</v>
      </c>
      <c r="AS49" s="2" t="str">
        <f ca="1">CONCATENATE("% change ",INDIRECT(ADDRESS(49,3)),"-",INDIRECT(ADDRESS(49,14)))</f>
        <v>% change 2019-2030</v>
      </c>
      <c r="AT49" s="2">
        <f ca="1">INDIRECT(ADDRESS(49,19))</f>
        <v>2035</v>
      </c>
      <c r="AU49" s="2" t="str">
        <f ca="1">CONCATENATE(INDIRECT(ADDRESS(49,19))," Share")</f>
        <v>2035 Share</v>
      </c>
      <c r="AV49" s="2" t="str">
        <f ca="1">CONCATENATE("% change ",INDIRECT(ADDRESS(49,3)),"-",INDIRECT(ADDRESS(49,19)))</f>
        <v>% change 2019-2035</v>
      </c>
      <c r="AW49" s="2">
        <f ca="1">INDIRECT(ADDRESS(49,24))</f>
        <v>2040</v>
      </c>
      <c r="AX49" s="2" t="str">
        <f ca="1">CONCATENATE(INDIRECT(ADDRESS(49,24))," Share")</f>
        <v>2040 Share</v>
      </c>
      <c r="AY49" s="2" t="str">
        <f ca="1">CONCATENATE("% change ",INDIRECT(ADDRESS(49,3)),"-",INDIRECT(ADDRESS(49,24)))</f>
        <v>% change 2019-2040</v>
      </c>
      <c r="AZ49" s="2">
        <f ca="1">INDIRECT(ADDRESS(49,29))</f>
        <v>2045</v>
      </c>
      <c r="BA49" s="2" t="str">
        <f ca="1">CONCATENATE(INDIRECT(ADDRESS(49,29))," Share")</f>
        <v>2045 Share</v>
      </c>
      <c r="BB49" s="2" t="str">
        <f ca="1">CONCATENATE("% change ",INDIRECT(ADDRESS(49,3)),"-",INDIRECT(ADDRESS(49,29)))</f>
        <v>% change 2019-2045</v>
      </c>
      <c r="BC49" s="2">
        <f ca="1">INDIRECT(ADDRESS(49,34))</f>
        <v>2050</v>
      </c>
      <c r="BD49" s="2" t="str">
        <f ca="1">CONCATENATE(INDIRECT(ADDRESS(49,34))," Share")</f>
        <v>2050 Share</v>
      </c>
      <c r="BE49" s="2" t="str">
        <f ca="1">CONCATENATE("% change ",INDIRECT(ADDRESS(49,3)),"-",INDIRECT(ADDRESS(49,34)))</f>
        <v>% change 2019-2050</v>
      </c>
    </row>
    <row r="50" spans="1:57" x14ac:dyDescent="0.25">
      <c r="A50" s="5" t="s">
        <v>5</v>
      </c>
      <c r="B50" s="1" t="s">
        <v>24</v>
      </c>
      <c r="C50">
        <v>653072660.62</v>
      </c>
      <c r="D50">
        <v>651789712.49000001</v>
      </c>
      <c r="E50">
        <v>651789722.59000003</v>
      </c>
      <c r="F50">
        <v>651789712.59000003</v>
      </c>
      <c r="G50">
        <v>650774844.10399997</v>
      </c>
      <c r="H50">
        <v>649759562.93200004</v>
      </c>
      <c r="I50">
        <v>604629692.83200002</v>
      </c>
      <c r="J50">
        <v>603614375.64999998</v>
      </c>
      <c r="K50">
        <v>602599205.98899996</v>
      </c>
      <c r="L50">
        <v>601584239.51900005</v>
      </c>
      <c r="M50">
        <v>600569162.22099996</v>
      </c>
      <c r="N50">
        <v>517081174.00999999</v>
      </c>
      <c r="O50">
        <v>516065850.86000001</v>
      </c>
      <c r="P50">
        <v>515050347.227</v>
      </c>
      <c r="Q50">
        <v>514034456.59600002</v>
      </c>
      <c r="R50">
        <v>513018254.06199998</v>
      </c>
      <c r="S50">
        <v>512001377.75599998</v>
      </c>
      <c r="T50">
        <v>512001497.96799999</v>
      </c>
      <c r="U50">
        <v>512001497.96799999</v>
      </c>
      <c r="V50">
        <v>512001377.76800001</v>
      </c>
      <c r="W50">
        <v>512001507.96799999</v>
      </c>
      <c r="X50">
        <v>512001377.75599998</v>
      </c>
      <c r="Y50">
        <v>512001517.96899998</v>
      </c>
      <c r="Z50">
        <v>512001387.96799999</v>
      </c>
      <c r="AA50">
        <v>512001517.96899998</v>
      </c>
      <c r="AB50">
        <v>512001387.86799997</v>
      </c>
      <c r="AC50">
        <v>491383153.20999998</v>
      </c>
      <c r="AD50">
        <v>491383283.31</v>
      </c>
      <c r="AE50">
        <v>491383173.31</v>
      </c>
      <c r="AF50">
        <v>491383163.31</v>
      </c>
      <c r="AG50">
        <v>491383283.31099999</v>
      </c>
      <c r="AH50">
        <v>491383173.31</v>
      </c>
      <c r="AK50" s="3" t="str">
        <f ca="1">INDIRECT(ADDRESS(50,2))</f>
        <v>Energy Production</v>
      </c>
      <c r="AL50" s="3">
        <f ca="1">INDIRECT(ADDRESS(50,3))</f>
        <v>653072660.62</v>
      </c>
      <c r="AM50" s="4">
        <f ca="1">IFERROR(INDIRECT(ADDRESS(50,3)) / INDIRECT(ADDRESS(59,3)),0)</f>
        <v>0.29807806857082192</v>
      </c>
      <c r="AN50" s="3">
        <f ca="1">INDIRECT(ADDRESS(50,9))</f>
        <v>604629692.83200002</v>
      </c>
      <c r="AO50" s="4">
        <f ca="1">IFERROR(INDIRECT(ADDRESS(50,9)) / INDIRECT(ADDRESS(59,9)),0)</f>
        <v>0.30039176005434448</v>
      </c>
      <c r="AP50" s="4">
        <f ca="1">IFERROR((INDIRECT(ADDRESS(50,9)) - INDIRECT(ADDRESS(50,3)))/ INDIRECT(ADDRESS(50,3)),1)</f>
        <v>-7.4176995469401902E-2</v>
      </c>
      <c r="AQ50" s="3">
        <f ca="1">INDIRECT(ADDRESS(50,14))</f>
        <v>517081174.00999999</v>
      </c>
      <c r="AR50" s="4">
        <f ca="1">IFERROR(INDIRECT(ADDRESS(50,14)) / INDIRECT(ADDRESS(59,14)),0)</f>
        <v>0.30025817680901445</v>
      </c>
      <c r="AS50" s="4">
        <f ca="1">IFERROR((INDIRECT(ADDRESS(50,14)) - INDIRECT(ADDRESS(50,3)))/ INDIRECT(ADDRESS(50,3)),1)</f>
        <v>-0.20823331737833789</v>
      </c>
      <c r="AT50" s="3">
        <f ca="1">INDIRECT(ADDRESS(50,19))</f>
        <v>512001377.75599998</v>
      </c>
      <c r="AU50" s="4">
        <f ca="1">IFERROR(INDIRECT(ADDRESS(50,19)) / INDIRECT(ADDRESS(59,19)),0)</f>
        <v>0.33300707181560674</v>
      </c>
      <c r="AV50" s="4">
        <f ca="1">IFERROR((INDIRECT(ADDRESS(50,19)) - INDIRECT(ADDRESS(50,3)))/ INDIRECT(ADDRESS(50,3)),1)</f>
        <v>-0.21601161918196488</v>
      </c>
      <c r="AW50" s="3">
        <f ca="1">INDIRECT(ADDRESS(50,24))</f>
        <v>512001377.75599998</v>
      </c>
      <c r="AX50" s="4">
        <f ca="1">IFERROR(INDIRECT(ADDRESS(50,24)) / INDIRECT(ADDRESS(59,24)),0)</f>
        <v>0.36854969346683492</v>
      </c>
      <c r="AY50" s="4">
        <f ca="1">IFERROR((INDIRECT(ADDRESS(50,24)) - INDIRECT(ADDRESS(50,3)))/ INDIRECT(ADDRESS(50,3)),1)</f>
        <v>-0.21601161918196488</v>
      </c>
      <c r="AZ50" s="3">
        <f ca="1">INDIRECT(ADDRESS(50,29))</f>
        <v>491383153.20999998</v>
      </c>
      <c r="BA50" s="4">
        <f ca="1">IFERROR(INDIRECT(ADDRESS(50,29)) / INDIRECT(ADDRESS(59,29)),0)</f>
        <v>0.37250853604428247</v>
      </c>
      <c r="BB50" s="4">
        <f ca="1">IFERROR((INDIRECT(ADDRESS(50,29)) - INDIRECT(ADDRESS(50,3)))/ INDIRECT(ADDRESS(50,3)),1)</f>
        <v>-0.24758272265830075</v>
      </c>
      <c r="BC50" s="3">
        <f ca="1">INDIRECT(ADDRESS(50,34))</f>
        <v>491383173.31</v>
      </c>
      <c r="BD50" s="4">
        <f ca="1">IFERROR(INDIRECT(ADDRESS(50,34)) / INDIRECT(ADDRESS(59,34)),0)</f>
        <v>0.38130565015930151</v>
      </c>
      <c r="BE50" s="4">
        <f ca="1">IFERROR((INDIRECT(ADDRESS(50,34)) - INDIRECT(ADDRESS(50,3)))/ INDIRECT(ADDRESS(50,3)),1)</f>
        <v>-0.24758269188071466</v>
      </c>
    </row>
    <row r="51" spans="1:57" x14ac:dyDescent="0.25">
      <c r="A51" s="5"/>
      <c r="B51" s="1" t="s">
        <v>83</v>
      </c>
      <c r="C51">
        <v>452108148.43599999</v>
      </c>
      <c r="D51">
        <v>452108144.05599999</v>
      </c>
      <c r="E51">
        <v>452108146.57725197</v>
      </c>
      <c r="F51">
        <v>452108151.299658</v>
      </c>
      <c r="G51">
        <v>452108137.43199998</v>
      </c>
      <c r="H51">
        <v>452108133.08499998</v>
      </c>
      <c r="I51">
        <v>446206719.653</v>
      </c>
      <c r="J51">
        <v>440627179.35600001</v>
      </c>
      <c r="K51">
        <v>435211251.87599999</v>
      </c>
      <c r="L51">
        <v>429951951.463</v>
      </c>
      <c r="M51">
        <v>424842382.48699999</v>
      </c>
      <c r="N51">
        <v>419876421.10799998</v>
      </c>
      <c r="O51">
        <v>415246712.06400001</v>
      </c>
      <c r="P51">
        <v>410743517.49199998</v>
      </c>
      <c r="Q51">
        <v>406361567.04900002</v>
      </c>
      <c r="R51">
        <v>402096093.30199999</v>
      </c>
      <c r="S51">
        <v>397942468.82599998</v>
      </c>
      <c r="T51">
        <v>394093911.39399999</v>
      </c>
      <c r="U51">
        <v>390343636.80000001</v>
      </c>
      <c r="V51">
        <v>386687932.43599999</v>
      </c>
      <c r="W51">
        <v>383123235.39899999</v>
      </c>
      <c r="X51">
        <v>379646193.59299999</v>
      </c>
      <c r="Y51">
        <v>376029859.00999999</v>
      </c>
      <c r="Z51">
        <v>372500295.77700001</v>
      </c>
      <c r="AA51">
        <v>369054396.20899999</v>
      </c>
      <c r="AB51">
        <v>365689245.028</v>
      </c>
      <c r="AC51">
        <v>362401983.95599997</v>
      </c>
      <c r="AD51">
        <v>359035625.39999998</v>
      </c>
      <c r="AE51">
        <v>355745403.81</v>
      </c>
      <c r="AF51">
        <v>352528857.72299999</v>
      </c>
      <c r="AG51">
        <v>349383380.97299999</v>
      </c>
      <c r="AH51">
        <v>346306744.30199999</v>
      </c>
      <c r="AK51" s="3" t="str">
        <f ca="1">INDIRECT(ADDRESS(51,2))</f>
        <v>Industrial Processes</v>
      </c>
      <c r="AL51" s="3">
        <f ca="1">INDIRECT(ADDRESS(51,3))</f>
        <v>452108148.43599999</v>
      </c>
      <c r="AM51" s="4">
        <f ca="1">IFERROR(INDIRECT(ADDRESS(51,3)) / INDIRECT(ADDRESS(59,3)),0)</f>
        <v>0.20635303205464833</v>
      </c>
      <c r="AN51" s="3">
        <f ca="1">INDIRECT(ADDRESS(51,9))</f>
        <v>446206719.653</v>
      </c>
      <c r="AO51" s="4">
        <f ca="1">IFERROR(INDIRECT(ADDRESS(51,9)) / INDIRECT(ADDRESS(59,9)),0)</f>
        <v>0.22168415387744289</v>
      </c>
      <c r="AP51" s="4">
        <f ca="1">IFERROR((INDIRECT(ADDRESS(51,9)) - INDIRECT(ADDRESS(51,3)))/ INDIRECT(ADDRESS(51,3)),1)</f>
        <v>-1.3053135192132892E-2</v>
      </c>
      <c r="AQ51" s="3">
        <f ca="1">INDIRECT(ADDRESS(51,14))</f>
        <v>419876421.10799998</v>
      </c>
      <c r="AR51" s="4">
        <f ca="1">IFERROR(INDIRECT(ADDRESS(51,14)) / INDIRECT(ADDRESS(59,14)),0)</f>
        <v>0.24381341851858626</v>
      </c>
      <c r="AS51" s="4">
        <f ca="1">IFERROR((INDIRECT(ADDRESS(51,14)) - INDIRECT(ADDRESS(51,3)))/ INDIRECT(ADDRESS(51,3)),1)</f>
        <v>-7.1292073455213781E-2</v>
      </c>
      <c r="AT51" s="3">
        <f ca="1">INDIRECT(ADDRESS(51,19))</f>
        <v>397942468.82599998</v>
      </c>
      <c r="AU51" s="4">
        <f ca="1">IFERROR(INDIRECT(ADDRESS(51,19)) / INDIRECT(ADDRESS(59,19)),0)</f>
        <v>0.25882285097672608</v>
      </c>
      <c r="AV51" s="4">
        <f ca="1">IFERROR((INDIRECT(ADDRESS(51,19)) - INDIRECT(ADDRESS(51,3)))/ INDIRECT(ADDRESS(51,3)),1)</f>
        <v>-0.11980690858454558</v>
      </c>
      <c r="AW51" s="3">
        <f ca="1">INDIRECT(ADDRESS(51,24))</f>
        <v>379646193.59299999</v>
      </c>
      <c r="AX51" s="4">
        <f ca="1">IFERROR(INDIRECT(ADDRESS(51,24)) / INDIRECT(ADDRESS(59,24)),0)</f>
        <v>0.27327756204052744</v>
      </c>
      <c r="AY51" s="4">
        <f ca="1">IFERROR((INDIRECT(ADDRESS(51,24)) - INDIRECT(ADDRESS(51,3)))/ INDIRECT(ADDRESS(51,3)),1)</f>
        <v>-0.16027571078661423</v>
      </c>
      <c r="AZ51" s="3">
        <f ca="1">INDIRECT(ADDRESS(51,29))</f>
        <v>362401983.95599997</v>
      </c>
      <c r="BA51" s="4">
        <f ca="1">IFERROR(INDIRECT(ADDRESS(51,29)) / INDIRECT(ADDRESS(59,29)),0)</f>
        <v>0.27473028251194387</v>
      </c>
      <c r="BB51" s="4">
        <f ca="1">IFERROR((INDIRECT(ADDRESS(51,29)) - INDIRECT(ADDRESS(51,3)))/ INDIRECT(ADDRESS(51,3)),1)</f>
        <v>-0.19841749101476047</v>
      </c>
      <c r="BC51" s="3">
        <f ca="1">INDIRECT(ADDRESS(51,34))</f>
        <v>346306744.30199999</v>
      </c>
      <c r="BD51" s="4">
        <f ca="1">IFERROR(INDIRECT(ADDRESS(51,34)) / INDIRECT(ADDRESS(59,34)),0)</f>
        <v>0.26872861233959922</v>
      </c>
      <c r="BE51" s="4">
        <f ca="1">IFERROR((INDIRECT(ADDRESS(51,34)) - INDIRECT(ADDRESS(51,3)))/ INDIRECT(ADDRESS(51,3)),1)</f>
        <v>-0.23401791031637897</v>
      </c>
    </row>
    <row r="52" spans="1:57" x14ac:dyDescent="0.25">
      <c r="A52" s="5"/>
      <c r="B52" s="1" t="s">
        <v>84</v>
      </c>
      <c r="C52">
        <v>47932011.942000002</v>
      </c>
      <c r="D52">
        <v>47837688.825999998</v>
      </c>
      <c r="E52">
        <v>48069425.946000002</v>
      </c>
      <c r="F52">
        <v>48304895.119000003</v>
      </c>
      <c r="G52">
        <v>48467426.150000013</v>
      </c>
      <c r="H52">
        <v>48465262.340000004</v>
      </c>
      <c r="I52">
        <v>48232276.840000004</v>
      </c>
      <c r="J52">
        <v>47746162.200000003</v>
      </c>
      <c r="K52">
        <v>47212347.799999997</v>
      </c>
      <c r="L52">
        <v>46633117.399999999</v>
      </c>
      <c r="M52">
        <v>46000750.299999997</v>
      </c>
      <c r="N52">
        <v>45160585.5</v>
      </c>
      <c r="O52">
        <v>44237297.200000003</v>
      </c>
      <c r="P52">
        <v>43251110.600000001</v>
      </c>
      <c r="Q52">
        <v>42185265.5</v>
      </c>
      <c r="R52">
        <v>41032515.200000003</v>
      </c>
      <c r="S52">
        <v>39819919.700000003</v>
      </c>
      <c r="T52">
        <v>38489606.299999997</v>
      </c>
      <c r="U52">
        <v>37028371</v>
      </c>
      <c r="V52">
        <v>35393053.399999999</v>
      </c>
      <c r="W52">
        <v>33575127.700000003</v>
      </c>
      <c r="X52">
        <v>31541013.300000001</v>
      </c>
      <c r="Y52">
        <v>31134073.199999999</v>
      </c>
      <c r="Z52">
        <v>30794841.300000001</v>
      </c>
      <c r="AA52">
        <v>30539886.399999999</v>
      </c>
      <c r="AB52">
        <v>30374846.899999999</v>
      </c>
      <c r="AC52">
        <v>30213473.300000001</v>
      </c>
      <c r="AD52">
        <v>30058269.199999999</v>
      </c>
      <c r="AE52">
        <v>29903979.199999999</v>
      </c>
      <c r="AF52">
        <v>29750049.600000001</v>
      </c>
      <c r="AG52">
        <v>29597919.800000001</v>
      </c>
      <c r="AH52">
        <v>29447140.600000001</v>
      </c>
      <c r="AK52" s="3" t="str">
        <f ca="1">INDIRECT(ADDRESS(52,2))</f>
        <v>Lighting</v>
      </c>
      <c r="AL52" s="3">
        <f ca="1">INDIRECT(ADDRESS(52,3))</f>
        <v>47932011.942000002</v>
      </c>
      <c r="AM52" s="4">
        <f ca="1">IFERROR(INDIRECT(ADDRESS(52,3)) / INDIRECT(ADDRESS(59,3)),0)</f>
        <v>2.1877323005407991E-2</v>
      </c>
      <c r="AN52" s="3">
        <f ca="1">INDIRECT(ADDRESS(52,9))</f>
        <v>48232276.840000004</v>
      </c>
      <c r="AO52" s="4">
        <f ca="1">IFERROR(INDIRECT(ADDRESS(52,9)) / INDIRECT(ADDRESS(59,9)),0)</f>
        <v>2.3962730747697062E-2</v>
      </c>
      <c r="AP52" s="4">
        <f ca="1">IFERROR((INDIRECT(ADDRESS(52,9)) - INDIRECT(ADDRESS(52,3)))/ INDIRECT(ADDRESS(52,3)),1)</f>
        <v>6.2643917047199398E-3</v>
      </c>
      <c r="AQ52" s="3">
        <f ca="1">INDIRECT(ADDRESS(52,14))</f>
        <v>45160585.5</v>
      </c>
      <c r="AR52" s="4">
        <f ca="1">IFERROR(INDIRECT(ADDRESS(52,14)) / INDIRECT(ADDRESS(59,14)),0)</f>
        <v>2.6223803432447873E-2</v>
      </c>
      <c r="AS52" s="4">
        <f ca="1">IFERROR((INDIRECT(ADDRESS(52,14)) - INDIRECT(ADDRESS(52,3)))/ INDIRECT(ADDRESS(52,3)),1)</f>
        <v>-5.7819948082996363E-2</v>
      </c>
      <c r="AT52" s="3">
        <f ca="1">INDIRECT(ADDRESS(52,19))</f>
        <v>39819919.700000003</v>
      </c>
      <c r="AU52" s="4">
        <f ca="1">IFERROR(INDIRECT(ADDRESS(52,19)) / INDIRECT(ADDRESS(59,19)),0)</f>
        <v>2.5898982767091197E-2</v>
      </c>
      <c r="AV52" s="4">
        <f ca="1">IFERROR((INDIRECT(ADDRESS(52,19)) - INDIRECT(ADDRESS(52,3)))/ INDIRECT(ADDRESS(52,3)),1)</f>
        <v>-0.16924163859042707</v>
      </c>
      <c r="AW52" s="3">
        <f ca="1">INDIRECT(ADDRESS(52,24))</f>
        <v>31541013.300000001</v>
      </c>
      <c r="AX52" s="4">
        <f ca="1">IFERROR(INDIRECT(ADDRESS(52,24)) / INDIRECT(ADDRESS(59,24)),0)</f>
        <v>2.2703905279114533E-2</v>
      </c>
      <c r="AY52" s="4">
        <f ca="1">IFERROR((INDIRECT(ADDRESS(52,24)) - INDIRECT(ADDRESS(52,3)))/ INDIRECT(ADDRESS(52,3)),1)</f>
        <v>-0.34196350159125144</v>
      </c>
      <c r="AZ52" s="3">
        <f ca="1">INDIRECT(ADDRESS(52,29))</f>
        <v>30213473.300000001</v>
      </c>
      <c r="BA52" s="4">
        <f ca="1">IFERROR(INDIRECT(ADDRESS(52,29)) / INDIRECT(ADDRESS(59,29)),0)</f>
        <v>2.2904278737016691E-2</v>
      </c>
      <c r="BB52" s="4">
        <f ca="1">IFERROR((INDIRECT(ADDRESS(52,29)) - INDIRECT(ADDRESS(52,3)))/ INDIRECT(ADDRESS(52,3)),1)</f>
        <v>-0.36965981447722807</v>
      </c>
      <c r="BC52" s="3">
        <f ca="1">INDIRECT(ADDRESS(52,34))</f>
        <v>29447140.600000001</v>
      </c>
      <c r="BD52" s="4">
        <f ca="1">IFERROR(INDIRECT(ADDRESS(52,34)) / INDIRECT(ADDRESS(59,34)),0)</f>
        <v>2.2850520127053076E-2</v>
      </c>
      <c r="BE52" s="4">
        <f ca="1">IFERROR((INDIRECT(ADDRESS(52,34)) - INDIRECT(ADDRESS(52,3)))/ INDIRECT(ADDRESS(52,3)),1)</f>
        <v>-0.3856477246222747</v>
      </c>
    </row>
    <row r="53" spans="1:57" x14ac:dyDescent="0.25">
      <c r="A53" s="5"/>
      <c r="B53" s="1" t="s">
        <v>85</v>
      </c>
      <c r="C53">
        <v>25078806.98</v>
      </c>
      <c r="D53">
        <v>25207328.789999999</v>
      </c>
      <c r="E53">
        <v>25276346.670000002</v>
      </c>
      <c r="F53">
        <v>25415843.859999999</v>
      </c>
      <c r="G53">
        <v>25484773.300000001</v>
      </c>
      <c r="H53">
        <v>25530174.300000001</v>
      </c>
      <c r="I53">
        <v>25442989</v>
      </c>
      <c r="J53">
        <v>25313445</v>
      </c>
      <c r="K53">
        <v>25154823</v>
      </c>
      <c r="L53">
        <v>24964001</v>
      </c>
      <c r="M53">
        <v>24738145</v>
      </c>
      <c r="N53">
        <v>24362356</v>
      </c>
      <c r="O53">
        <v>23944604</v>
      </c>
      <c r="P53">
        <v>23487271</v>
      </c>
      <c r="Q53">
        <v>22984871</v>
      </c>
      <c r="R53">
        <v>22437806</v>
      </c>
      <c r="S53">
        <v>21960842</v>
      </c>
      <c r="T53">
        <v>21441247</v>
      </c>
      <c r="U53">
        <v>20898027</v>
      </c>
      <c r="V53">
        <v>20333411</v>
      </c>
      <c r="W53">
        <v>19773966</v>
      </c>
      <c r="X53">
        <v>19215630</v>
      </c>
      <c r="Y53">
        <v>19142814</v>
      </c>
      <c r="Z53">
        <v>19163883</v>
      </c>
      <c r="AA53">
        <v>19183958</v>
      </c>
      <c r="AB53">
        <v>19202651</v>
      </c>
      <c r="AC53">
        <v>19218022</v>
      </c>
      <c r="AD53">
        <v>19222071</v>
      </c>
      <c r="AE53">
        <v>19226461</v>
      </c>
      <c r="AF53">
        <v>19230350</v>
      </c>
      <c r="AG53">
        <v>19238537</v>
      </c>
      <c r="AH53">
        <v>19247749</v>
      </c>
      <c r="AK53" s="3" t="str">
        <f ca="1">INDIRECT(ADDRESS(53,2))</f>
        <v>Major Appliances</v>
      </c>
      <c r="AL53" s="3">
        <f ca="1">INDIRECT(ADDRESS(53,3))</f>
        <v>25078806.98</v>
      </c>
      <c r="AM53" s="4">
        <f ca="1">IFERROR(INDIRECT(ADDRESS(53,3)) / INDIRECT(ADDRESS(59,3)),0)</f>
        <v>1.1446570645848156E-2</v>
      </c>
      <c r="AN53" s="3">
        <f ca="1">INDIRECT(ADDRESS(53,9))</f>
        <v>25442989</v>
      </c>
      <c r="AO53" s="4">
        <f ca="1">IFERROR(INDIRECT(ADDRESS(53,9)) / INDIRECT(ADDRESS(59,9)),0)</f>
        <v>1.2640570480346789E-2</v>
      </c>
      <c r="AP53" s="4">
        <f ca="1">IFERROR((INDIRECT(ADDRESS(53,9)) - INDIRECT(ADDRESS(53,3)))/ INDIRECT(ADDRESS(53,3)),1)</f>
        <v>1.4521504961955712E-2</v>
      </c>
      <c r="AQ53" s="3">
        <f ca="1">INDIRECT(ADDRESS(53,14))</f>
        <v>24362356</v>
      </c>
      <c r="AR53" s="4">
        <f ca="1">IFERROR(INDIRECT(ADDRESS(53,14)) / INDIRECT(ADDRESS(59,14)),0)</f>
        <v>1.4146708414471664E-2</v>
      </c>
      <c r="AS53" s="4">
        <f ca="1">IFERROR((INDIRECT(ADDRESS(53,14)) - INDIRECT(ADDRESS(53,3)))/ INDIRECT(ADDRESS(53,3)),1)</f>
        <v>-2.8567984935302548E-2</v>
      </c>
      <c r="AT53" s="3">
        <f ca="1">INDIRECT(ADDRESS(53,19))</f>
        <v>21960842</v>
      </c>
      <c r="AU53" s="4">
        <f ca="1">IFERROR(INDIRECT(ADDRESS(53,19)) / INDIRECT(ADDRESS(59,19)),0)</f>
        <v>1.4283390644527405E-2</v>
      </c>
      <c r="AV53" s="4">
        <f ca="1">IFERROR((INDIRECT(ADDRESS(53,19)) - INDIRECT(ADDRESS(53,3)))/ INDIRECT(ADDRESS(53,3)),1)</f>
        <v>-0.12432668677128597</v>
      </c>
      <c r="AW53" s="3">
        <f ca="1">INDIRECT(ADDRESS(53,24))</f>
        <v>19215630</v>
      </c>
      <c r="AX53" s="4">
        <f ca="1">IFERROR(INDIRECT(ADDRESS(53,24)) / INDIRECT(ADDRESS(59,24)),0)</f>
        <v>1.3831827127713478E-2</v>
      </c>
      <c r="AY53" s="4">
        <f ca="1">IFERROR((INDIRECT(ADDRESS(53,24)) - INDIRECT(ADDRESS(53,3)))/ INDIRECT(ADDRESS(53,3)),1)</f>
        <v>-0.23379010750694013</v>
      </c>
      <c r="AZ53" s="3">
        <f ca="1">INDIRECT(ADDRESS(53,29))</f>
        <v>19218022</v>
      </c>
      <c r="BA53" s="4">
        <f ca="1">IFERROR(INDIRECT(ADDRESS(53,29)) / INDIRECT(ADDRESS(59,29)),0)</f>
        <v>1.4568829220376955E-2</v>
      </c>
      <c r="BB53" s="4">
        <f ca="1">IFERROR((INDIRECT(ADDRESS(53,29)) - INDIRECT(ADDRESS(53,3)))/ INDIRECT(ADDRESS(53,3)),1)</f>
        <v>-0.23369472816924244</v>
      </c>
      <c r="BC53" s="3">
        <f ca="1">INDIRECT(ADDRESS(53,34))</f>
        <v>19247749</v>
      </c>
      <c r="BD53" s="4">
        <f ca="1">IFERROR(INDIRECT(ADDRESS(53,34)) / INDIRECT(ADDRESS(59,34)),0)</f>
        <v>1.4935951911234657E-2</v>
      </c>
      <c r="BE53" s="4">
        <f ca="1">IFERROR((INDIRECT(ADDRESS(53,34)) - INDIRECT(ADDRESS(53,3)))/ INDIRECT(ADDRESS(53,3)),1)</f>
        <v>-0.23250938470279658</v>
      </c>
    </row>
    <row r="54" spans="1:57" x14ac:dyDescent="0.25">
      <c r="A54" s="5"/>
      <c r="B54" s="1" t="s">
        <v>86</v>
      </c>
      <c r="C54">
        <v>110616717.56999999</v>
      </c>
      <c r="D54">
        <v>110804365.98999999</v>
      </c>
      <c r="E54">
        <v>111546900.91</v>
      </c>
      <c r="F54">
        <v>112395776.8</v>
      </c>
      <c r="G54">
        <v>113015533.59999999</v>
      </c>
      <c r="H54">
        <v>113295507</v>
      </c>
      <c r="I54">
        <v>113095682</v>
      </c>
      <c r="J54">
        <v>112287113</v>
      </c>
      <c r="K54">
        <v>111358033</v>
      </c>
      <c r="L54">
        <v>110309248</v>
      </c>
      <c r="M54">
        <v>109122609</v>
      </c>
      <c r="N54">
        <v>107459818</v>
      </c>
      <c r="O54">
        <v>105569501</v>
      </c>
      <c r="P54">
        <v>103518360</v>
      </c>
      <c r="Q54">
        <v>101268705</v>
      </c>
      <c r="R54">
        <v>98807261.400000006</v>
      </c>
      <c r="S54">
        <v>96282399.200000003</v>
      </c>
      <c r="T54">
        <v>93470185.599999994</v>
      </c>
      <c r="U54">
        <v>90385997.900000006</v>
      </c>
      <c r="V54">
        <v>86957978.799999997</v>
      </c>
      <c r="W54">
        <v>83194030.5</v>
      </c>
      <c r="X54">
        <v>79012821.099999994</v>
      </c>
      <c r="Y54">
        <v>78514778</v>
      </c>
      <c r="Z54">
        <v>78254416.099999994</v>
      </c>
      <c r="AA54">
        <v>78152627</v>
      </c>
      <c r="AB54">
        <v>78219201.5</v>
      </c>
      <c r="AC54">
        <v>78288122.900000006</v>
      </c>
      <c r="AD54">
        <v>78361885.299999997</v>
      </c>
      <c r="AE54">
        <v>78436064.900000006</v>
      </c>
      <c r="AF54">
        <v>78509086.400000006</v>
      </c>
      <c r="AG54">
        <v>78590612</v>
      </c>
      <c r="AH54">
        <v>78676752.5</v>
      </c>
      <c r="AK54" s="3" t="str">
        <f ca="1">INDIRECT(ADDRESS(54,2))</f>
        <v>Plug Load</v>
      </c>
      <c r="AL54" s="3">
        <f ca="1">INDIRECT(ADDRESS(54,3))</f>
        <v>110616717.56999999</v>
      </c>
      <c r="AM54" s="4">
        <f ca="1">IFERROR(INDIRECT(ADDRESS(54,3)) / INDIRECT(ADDRESS(59,3)),0)</f>
        <v>5.0488130208370778E-2</v>
      </c>
      <c r="AN54" s="3">
        <f ca="1">INDIRECT(ADDRESS(54,9))</f>
        <v>113095682</v>
      </c>
      <c r="AO54" s="4">
        <f ca="1">IFERROR(INDIRECT(ADDRESS(54,9)) / INDIRECT(ADDRESS(59,9)),0)</f>
        <v>5.6188128656734775E-2</v>
      </c>
      <c r="AP54" s="4">
        <f ca="1">IFERROR((INDIRECT(ADDRESS(54,9)) - INDIRECT(ADDRESS(54,3)))/ INDIRECT(ADDRESS(54,3)),1)</f>
        <v>2.2410395864723428E-2</v>
      </c>
      <c r="AQ54" s="3">
        <f ca="1">INDIRECT(ADDRESS(54,14))</f>
        <v>107459818</v>
      </c>
      <c r="AR54" s="4">
        <f ca="1">IFERROR(INDIRECT(ADDRESS(54,14)) / INDIRECT(ADDRESS(59,14)),0)</f>
        <v>6.2399659192164898E-2</v>
      </c>
      <c r="AS54" s="4">
        <f ca="1">IFERROR((INDIRECT(ADDRESS(54,14)) - INDIRECT(ADDRESS(54,3)))/ INDIRECT(ADDRESS(54,3)),1)</f>
        <v>-2.8539081970157514E-2</v>
      </c>
      <c r="AT54" s="3">
        <f ca="1">INDIRECT(ADDRESS(54,19))</f>
        <v>96282399.200000003</v>
      </c>
      <c r="AU54" s="4">
        <f ca="1">IFERROR(INDIRECT(ADDRESS(54,19)) / INDIRECT(ADDRESS(59,19)),0)</f>
        <v>6.2622331145861021E-2</v>
      </c>
      <c r="AV54" s="4">
        <f ca="1">IFERROR((INDIRECT(ADDRESS(54,19)) - INDIRECT(ADDRESS(54,3)))/ INDIRECT(ADDRESS(54,3)),1)</f>
        <v>-0.12958546126564466</v>
      </c>
      <c r="AW54" s="3">
        <f ca="1">INDIRECT(ADDRESS(54,24))</f>
        <v>79012821.099999994</v>
      </c>
      <c r="AX54" s="4">
        <f ca="1">IFERROR(INDIRECT(ADDRESS(54,24)) / INDIRECT(ADDRESS(59,24)),0)</f>
        <v>5.6875141867747857E-2</v>
      </c>
      <c r="AY54" s="4">
        <f ca="1">IFERROR((INDIRECT(ADDRESS(54,24)) - INDIRECT(ADDRESS(54,3)))/ INDIRECT(ADDRESS(54,3)),1)</f>
        <v>-0.28570633051012889</v>
      </c>
      <c r="AZ54" s="3">
        <f ca="1">INDIRECT(ADDRESS(54,29))</f>
        <v>78288122.900000006</v>
      </c>
      <c r="BA54" s="4">
        <f ca="1">IFERROR(INDIRECT(ADDRESS(54,29)) / INDIRECT(ADDRESS(59,29)),0)</f>
        <v>5.9348786910223245E-2</v>
      </c>
      <c r="BB54" s="4">
        <f ca="1">IFERROR((INDIRECT(ADDRESS(54,29)) - INDIRECT(ADDRESS(54,3)))/ INDIRECT(ADDRESS(54,3)),1)</f>
        <v>-0.29225776519305907</v>
      </c>
      <c r="BC54" s="3">
        <f ca="1">INDIRECT(ADDRESS(54,34))</f>
        <v>78676752.5</v>
      </c>
      <c r="BD54" s="4">
        <f ca="1">IFERROR(INDIRECT(ADDRESS(54,34)) / INDIRECT(ADDRESS(59,34)),0)</f>
        <v>6.1051928299361714E-2</v>
      </c>
      <c r="BE54" s="4">
        <f ca="1">IFERROR((INDIRECT(ADDRESS(54,34)) - INDIRECT(ADDRESS(54,3)))/ INDIRECT(ADDRESS(54,3)),1)</f>
        <v>-0.28874446622218636</v>
      </c>
    </row>
    <row r="55" spans="1:57" x14ac:dyDescent="0.25">
      <c r="A55" s="5"/>
      <c r="B55" s="1" t="s">
        <v>87</v>
      </c>
      <c r="C55">
        <v>11701098.921</v>
      </c>
      <c r="D55">
        <v>11853984.017000001</v>
      </c>
      <c r="E55">
        <v>12018035.525</v>
      </c>
      <c r="F55">
        <v>12189549.546</v>
      </c>
      <c r="G55">
        <v>12352176.909</v>
      </c>
      <c r="H55">
        <v>12322302.018999999</v>
      </c>
      <c r="I55">
        <v>12253536.469000001</v>
      </c>
      <c r="J55">
        <v>12125409.009</v>
      </c>
      <c r="K55">
        <v>11988134.768999999</v>
      </c>
      <c r="L55">
        <v>11836777.959000001</v>
      </c>
      <c r="M55">
        <v>11720534.709000001</v>
      </c>
      <c r="N55">
        <v>11550525.389</v>
      </c>
      <c r="O55">
        <v>11358560.389</v>
      </c>
      <c r="P55">
        <v>11156875.669</v>
      </c>
      <c r="Q55">
        <v>10944123.569</v>
      </c>
      <c r="R55">
        <v>10719025.369000001</v>
      </c>
      <c r="S55">
        <v>10540582.169</v>
      </c>
      <c r="T55">
        <v>10338521.369000001</v>
      </c>
      <c r="U55">
        <v>10111398.869000001</v>
      </c>
      <c r="V55">
        <v>9853542.6689999998</v>
      </c>
      <c r="W55">
        <v>9562171.6689999998</v>
      </c>
      <c r="X55">
        <v>9230376.3690000009</v>
      </c>
      <c r="Y55">
        <v>9223458.5690000001</v>
      </c>
      <c r="Z55">
        <v>9223260.1689999998</v>
      </c>
      <c r="AA55">
        <v>9235123.9690000005</v>
      </c>
      <c r="AB55">
        <v>9269692.8690000009</v>
      </c>
      <c r="AC55">
        <v>9314444.5690000001</v>
      </c>
      <c r="AD55">
        <v>9361810.6689999998</v>
      </c>
      <c r="AE55">
        <v>9409367.5690000001</v>
      </c>
      <c r="AF55">
        <v>9457009.5690000001</v>
      </c>
      <c r="AG55">
        <v>9504805.8690000009</v>
      </c>
      <c r="AH55">
        <v>9552670.5690000001</v>
      </c>
      <c r="AK55" s="3" t="str">
        <f ca="1">INDIRECT(ADDRESS(55,2))</f>
        <v>Space Cooling</v>
      </c>
      <c r="AL55" s="3">
        <f ca="1">INDIRECT(ADDRESS(55,3))</f>
        <v>11701098.921</v>
      </c>
      <c r="AM55" s="4">
        <f ca="1">IFERROR(INDIRECT(ADDRESS(55,3)) / INDIRECT(ADDRESS(59,3)),0)</f>
        <v>5.3406629565791305E-3</v>
      </c>
      <c r="AN55" s="3">
        <f ca="1">INDIRECT(ADDRESS(55,9))</f>
        <v>12253536.469000001</v>
      </c>
      <c r="AO55" s="4">
        <f ca="1">IFERROR(INDIRECT(ADDRESS(55,9)) / INDIRECT(ADDRESS(59,9)),0)</f>
        <v>6.0877946128850748E-3</v>
      </c>
      <c r="AP55" s="4">
        <f ca="1">IFERROR((INDIRECT(ADDRESS(55,9)) - INDIRECT(ADDRESS(55,3)))/ INDIRECT(ADDRESS(55,3)),1)</f>
        <v>4.7212450021129122E-2</v>
      </c>
      <c r="AQ55" s="3">
        <f ca="1">INDIRECT(ADDRESS(55,14))</f>
        <v>11550525.389</v>
      </c>
      <c r="AR55" s="4">
        <f ca="1">IFERROR(INDIRECT(ADDRESS(55,14)) / INDIRECT(ADDRESS(59,14)),0)</f>
        <v>6.7071474824575627E-3</v>
      </c>
      <c r="AS55" s="4">
        <f ca="1">IFERROR((INDIRECT(ADDRESS(55,14)) - INDIRECT(ADDRESS(55,3)))/ INDIRECT(ADDRESS(55,3)),1)</f>
        <v>-1.2868323993891279E-2</v>
      </c>
      <c r="AT55" s="3">
        <f ca="1">INDIRECT(ADDRESS(55,19))</f>
        <v>10540582.169</v>
      </c>
      <c r="AU55" s="4">
        <f ca="1">IFERROR(INDIRECT(ADDRESS(55,19)) / INDIRECT(ADDRESS(59,19)),0)</f>
        <v>6.8556229647554947E-3</v>
      </c>
      <c r="AV55" s="4">
        <f ca="1">IFERROR((INDIRECT(ADDRESS(55,19)) - INDIRECT(ADDRESS(55,3)))/ INDIRECT(ADDRESS(55,3)),1)</f>
        <v>-9.91801504999857E-2</v>
      </c>
      <c r="AW55" s="3">
        <f ca="1">INDIRECT(ADDRESS(55,24))</f>
        <v>9230376.3690000009</v>
      </c>
      <c r="AX55" s="4">
        <f ca="1">IFERROR(INDIRECT(ADDRESS(55,24)) / INDIRECT(ADDRESS(59,24)),0)</f>
        <v>6.6442250532373721E-3</v>
      </c>
      <c r="AY55" s="4">
        <f ca="1">IFERROR((INDIRECT(ADDRESS(55,24)) - INDIRECT(ADDRESS(55,3)))/ INDIRECT(ADDRESS(55,3)),1)</f>
        <v>-0.21115303517055012</v>
      </c>
      <c r="AZ55" s="3">
        <f ca="1">INDIRECT(ADDRESS(55,29))</f>
        <v>9314444.5690000001</v>
      </c>
      <c r="BA55" s="4">
        <f ca="1">IFERROR(INDIRECT(ADDRESS(55,29)) / INDIRECT(ADDRESS(59,29)),0)</f>
        <v>7.0611092134470772E-3</v>
      </c>
      <c r="BB55" s="4">
        <f ca="1">IFERROR((INDIRECT(ADDRESS(55,29)) - INDIRECT(ADDRESS(55,3)))/ INDIRECT(ADDRESS(55,3)),1)</f>
        <v>-0.20396839374775849</v>
      </c>
      <c r="BC55" s="3">
        <f ca="1">INDIRECT(ADDRESS(55,34))</f>
        <v>9552670.5690000001</v>
      </c>
      <c r="BD55" s="4">
        <f ca="1">IFERROR(INDIRECT(ADDRESS(55,34)) / INDIRECT(ADDRESS(59,34)),0)</f>
        <v>7.412722819819118E-3</v>
      </c>
      <c r="BE55" s="4">
        <f ca="1">IFERROR((INDIRECT(ADDRESS(55,34)) - INDIRECT(ADDRESS(55,3)))/ INDIRECT(ADDRESS(55,3)),1)</f>
        <v>-0.18360910940973318</v>
      </c>
    </row>
    <row r="56" spans="1:57" x14ac:dyDescent="0.25">
      <c r="A56" s="5"/>
      <c r="B56" s="1" t="s">
        <v>88</v>
      </c>
      <c r="C56">
        <v>228596226.74200001</v>
      </c>
      <c r="D56">
        <v>228057436.59200001</v>
      </c>
      <c r="E56">
        <v>227070608.48199999</v>
      </c>
      <c r="F56">
        <v>226645155.08899999</v>
      </c>
      <c r="G56">
        <v>225151956.088</v>
      </c>
      <c r="H56">
        <v>219063710.06799999</v>
      </c>
      <c r="I56">
        <v>215780613.007</v>
      </c>
      <c r="J56">
        <v>210117798.43000001</v>
      </c>
      <c r="K56">
        <v>204366059.56900001</v>
      </c>
      <c r="L56">
        <v>198584907.597</v>
      </c>
      <c r="M56">
        <v>190351553.037</v>
      </c>
      <c r="N56">
        <v>184665201.91</v>
      </c>
      <c r="O56">
        <v>177182259.8175</v>
      </c>
      <c r="P56">
        <v>169459966.32820001</v>
      </c>
      <c r="Q56">
        <v>161316147.2022</v>
      </c>
      <c r="R56">
        <v>151768581.34265</v>
      </c>
      <c r="S56">
        <v>144722590.48662999</v>
      </c>
      <c r="T56">
        <v>136194496.37860999</v>
      </c>
      <c r="U56">
        <v>127195191.46593</v>
      </c>
      <c r="V56">
        <v>117840342.38837001</v>
      </c>
      <c r="W56">
        <v>107979996.57905</v>
      </c>
      <c r="X56">
        <v>99537012.332169995</v>
      </c>
      <c r="Y56">
        <v>97603589.267299995</v>
      </c>
      <c r="Z56">
        <v>96614299.098870009</v>
      </c>
      <c r="AA56">
        <v>95541313.026879996</v>
      </c>
      <c r="AB56">
        <v>94019453.326499999</v>
      </c>
      <c r="AC56">
        <v>93721928.262610003</v>
      </c>
      <c r="AD56">
        <v>92783390.515770003</v>
      </c>
      <c r="AE56">
        <v>91828037.661640003</v>
      </c>
      <c r="AF56">
        <v>90855630.341159999</v>
      </c>
      <c r="AG56">
        <v>89393535.311200008</v>
      </c>
      <c r="AH56">
        <v>89132596.664229989</v>
      </c>
      <c r="AK56" s="3" t="str">
        <f ca="1">INDIRECT(ADDRESS(56,2))</f>
        <v>Space Heating</v>
      </c>
      <c r="AL56" s="3">
        <f ca="1">INDIRECT(ADDRESS(56,3))</f>
        <v>228596226.74200001</v>
      </c>
      <c r="AM56" s="4">
        <f ca="1">IFERROR(INDIRECT(ADDRESS(56,3)) / INDIRECT(ADDRESS(59,3)),0)</f>
        <v>0.10433681557752579</v>
      </c>
      <c r="AN56" s="3">
        <f ca="1">INDIRECT(ADDRESS(56,9))</f>
        <v>215780613.007</v>
      </c>
      <c r="AO56" s="4">
        <f ca="1">IFERROR(INDIRECT(ADDRESS(56,9)) / INDIRECT(ADDRESS(59,9)),0)</f>
        <v>0.10720399427156213</v>
      </c>
      <c r="AP56" s="4">
        <f ca="1">IFERROR((INDIRECT(ADDRESS(56,9)) - INDIRECT(ADDRESS(56,3)))/ INDIRECT(ADDRESS(56,3)),1)</f>
        <v>-5.6062227787618157E-2</v>
      </c>
      <c r="AQ56" s="3">
        <f ca="1">INDIRECT(ADDRESS(56,14))</f>
        <v>184665201.91</v>
      </c>
      <c r="AR56" s="4">
        <f ca="1">IFERROR(INDIRECT(ADDRESS(56,14)) / INDIRECT(ADDRESS(59,14)),0)</f>
        <v>0.10723120398209048</v>
      </c>
      <c r="AS56" s="4">
        <f ca="1">IFERROR((INDIRECT(ADDRESS(56,14)) - INDIRECT(ADDRESS(56,3)))/ INDIRECT(ADDRESS(56,3)),1)</f>
        <v>-0.19217738393198319</v>
      </c>
      <c r="AT56" s="3">
        <f ca="1">INDIRECT(ADDRESS(56,19))</f>
        <v>144722590.48662999</v>
      </c>
      <c r="AU56" s="4">
        <f ca="1">IFERROR(INDIRECT(ADDRESS(56,19)) / INDIRECT(ADDRESS(59,19)),0)</f>
        <v>9.4127961715151989E-2</v>
      </c>
      <c r="AV56" s="4">
        <f ca="1">IFERROR((INDIRECT(ADDRESS(56,19)) - INDIRECT(ADDRESS(56,3)))/ INDIRECT(ADDRESS(56,3)),1)</f>
        <v>-0.36690735210617503</v>
      </c>
      <c r="AW56" s="3">
        <f ca="1">INDIRECT(ADDRESS(56,24))</f>
        <v>99537012.332169995</v>
      </c>
      <c r="AX56" s="4">
        <f ca="1">IFERROR(INDIRECT(ADDRESS(56,24)) / INDIRECT(ADDRESS(59,24)),0)</f>
        <v>7.1648899743992772E-2</v>
      </c>
      <c r="AY56" s="4">
        <f ca="1">IFERROR((INDIRECT(ADDRESS(56,24)) - INDIRECT(ADDRESS(56,3)))/ INDIRECT(ADDRESS(56,3)),1)</f>
        <v>-0.56457281141166782</v>
      </c>
      <c r="AZ56" s="3">
        <f ca="1">INDIRECT(ADDRESS(56,29))</f>
        <v>93721928.262610003</v>
      </c>
      <c r="BA56" s="4">
        <f ca="1">IFERROR(INDIRECT(ADDRESS(56,29)) / INDIRECT(ADDRESS(59,29)),0)</f>
        <v>7.1048871057717872E-2</v>
      </c>
      <c r="BB56" s="4">
        <f ca="1">IFERROR((INDIRECT(ADDRESS(56,29)) - INDIRECT(ADDRESS(56,3)))/ INDIRECT(ADDRESS(56,3)),1)</f>
        <v>-0.59001104437131791</v>
      </c>
      <c r="BC56" s="3">
        <f ca="1">INDIRECT(ADDRESS(56,34))</f>
        <v>89132596.664229989</v>
      </c>
      <c r="BD56" s="4">
        <f ca="1">IFERROR(INDIRECT(ADDRESS(56,34)) / INDIRECT(ADDRESS(59,34)),0)</f>
        <v>6.9165499690400867E-2</v>
      </c>
      <c r="BE56" s="4">
        <f ca="1">IFERROR((INDIRECT(ADDRESS(56,34)) - INDIRECT(ADDRESS(56,3)))/ INDIRECT(ADDRESS(56,3)),1)</f>
        <v>-0.61008719201289574</v>
      </c>
    </row>
    <row r="57" spans="1:57" x14ac:dyDescent="0.25">
      <c r="A57" s="5"/>
      <c r="B57" s="1" t="s">
        <v>28</v>
      </c>
      <c r="C57">
        <v>590226101.63999999</v>
      </c>
      <c r="D57">
        <v>581432680.44000006</v>
      </c>
      <c r="E57">
        <v>566556353.37300003</v>
      </c>
      <c r="F57">
        <v>548603597.39600003</v>
      </c>
      <c r="G57">
        <v>531846903.31800002</v>
      </c>
      <c r="H57">
        <v>509521022.352</v>
      </c>
      <c r="I57">
        <v>476146337.38</v>
      </c>
      <c r="J57">
        <v>450801625.41000003</v>
      </c>
      <c r="K57">
        <v>424260026.32999998</v>
      </c>
      <c r="L57">
        <v>397368123.36000001</v>
      </c>
      <c r="M57">
        <v>371609520.39999998</v>
      </c>
      <c r="N57">
        <v>349262801.31999999</v>
      </c>
      <c r="O57">
        <v>329789993.33999997</v>
      </c>
      <c r="P57">
        <v>312655864.37</v>
      </c>
      <c r="Q57">
        <v>296744071.41000003</v>
      </c>
      <c r="R57">
        <v>279057289.32999998</v>
      </c>
      <c r="S57">
        <v>263902833.34999999</v>
      </c>
      <c r="T57">
        <v>254067855.38999999</v>
      </c>
      <c r="U57">
        <v>244081734.31999999</v>
      </c>
      <c r="V57">
        <v>234410956.34</v>
      </c>
      <c r="W57">
        <v>225417225.34</v>
      </c>
      <c r="X57">
        <v>217217860.34</v>
      </c>
      <c r="Y57">
        <v>211622512.34</v>
      </c>
      <c r="Z57">
        <v>206442928.34</v>
      </c>
      <c r="AA57">
        <v>201823948.34</v>
      </c>
      <c r="AB57">
        <v>197825358.34</v>
      </c>
      <c r="AC57">
        <v>194427178.34</v>
      </c>
      <c r="AD57">
        <v>191611049.34</v>
      </c>
      <c r="AE57">
        <v>189323291.34</v>
      </c>
      <c r="AF57">
        <v>187496124.34</v>
      </c>
      <c r="AG57">
        <v>186035024.34</v>
      </c>
      <c r="AH57">
        <v>184809207.74000001</v>
      </c>
      <c r="AK57" s="3" t="str">
        <f ca="1">INDIRECT(ADDRESS(57,2))</f>
        <v>Transportation</v>
      </c>
      <c r="AL57" s="3">
        <f ca="1">INDIRECT(ADDRESS(57,3))</f>
        <v>590226101.63999999</v>
      </c>
      <c r="AM57" s="4">
        <f ca="1">IFERROR(INDIRECT(ADDRESS(57,3)) / INDIRECT(ADDRESS(59,3)),0)</f>
        <v>0.26939338760546633</v>
      </c>
      <c r="AN57" s="3">
        <f ca="1">INDIRECT(ADDRESS(57,9))</f>
        <v>476146337.38</v>
      </c>
      <c r="AO57" s="4">
        <f ca="1">IFERROR(INDIRECT(ADDRESS(57,9)) / INDIRECT(ADDRESS(59,9)),0)</f>
        <v>0.23655873673532896</v>
      </c>
      <c r="AP57" s="4">
        <f ca="1">IFERROR((INDIRECT(ADDRESS(57,9)) - INDIRECT(ADDRESS(57,3)))/ INDIRECT(ADDRESS(57,3)),1)</f>
        <v>-0.19328146271914848</v>
      </c>
      <c r="AQ57" s="3">
        <f ca="1">INDIRECT(ADDRESS(57,14))</f>
        <v>349262801.31999999</v>
      </c>
      <c r="AR57" s="4">
        <f ca="1">IFERROR(INDIRECT(ADDRESS(57,14)) / INDIRECT(ADDRESS(59,14)),0)</f>
        <v>0.20280957269878122</v>
      </c>
      <c r="AS57" s="4">
        <f ca="1">IFERROR((INDIRECT(ADDRESS(57,14)) - INDIRECT(ADDRESS(57,3)))/ INDIRECT(ADDRESS(57,3)),1)</f>
        <v>-0.40825592031674013</v>
      </c>
      <c r="AT57" s="3">
        <f ca="1">INDIRECT(ADDRESS(57,19))</f>
        <v>263902833.34999999</v>
      </c>
      <c r="AU57" s="4">
        <f ca="1">IFERROR(INDIRECT(ADDRESS(57,19)) / INDIRECT(ADDRESS(59,19)),0)</f>
        <v>0.17164311190507472</v>
      </c>
      <c r="AV57" s="4">
        <f ca="1">IFERROR((INDIRECT(ADDRESS(57,19)) - INDIRECT(ADDRESS(57,3)))/ INDIRECT(ADDRESS(57,3)),1)</f>
        <v>-0.55287840944898803</v>
      </c>
      <c r="AW57" s="3">
        <f ca="1">INDIRECT(ADDRESS(57,24))</f>
        <v>217217860.34</v>
      </c>
      <c r="AX57" s="4">
        <f ca="1">IFERROR(INDIRECT(ADDRESS(57,24)) / INDIRECT(ADDRESS(59,24)),0)</f>
        <v>0.15635812582125538</v>
      </c>
      <c r="AY57" s="4">
        <f ca="1">IFERROR((INDIRECT(ADDRESS(57,24)) - INDIRECT(ADDRESS(57,3)))/ INDIRECT(ADDRESS(57,3)),1)</f>
        <v>-0.63197517063979491</v>
      </c>
      <c r="AZ57" s="3">
        <f ca="1">INDIRECT(ADDRESS(57,29))</f>
        <v>194427178.34</v>
      </c>
      <c r="BA57" s="4">
        <f ca="1">IFERROR(INDIRECT(ADDRESS(57,29)) / INDIRECT(ADDRESS(59,29)),0)</f>
        <v>0.14739167001865403</v>
      </c>
      <c r="BB57" s="4">
        <f ca="1">IFERROR((INDIRECT(ADDRESS(57,29)) - INDIRECT(ADDRESS(57,3)))/ INDIRECT(ADDRESS(57,3)),1)</f>
        <v>-0.67058864763898884</v>
      </c>
      <c r="BC57" s="3">
        <f ca="1">INDIRECT(ADDRESS(57,34))</f>
        <v>184809207.74000001</v>
      </c>
      <c r="BD57" s="4">
        <f ca="1">IFERROR(INDIRECT(ADDRESS(57,34)) / INDIRECT(ADDRESS(59,34)),0)</f>
        <v>0.14340905212126445</v>
      </c>
      <c r="BE57" s="4">
        <f ca="1">IFERROR((INDIRECT(ADDRESS(57,34)) - INDIRECT(ADDRESS(57,3)))/ INDIRECT(ADDRESS(57,3)),1)</f>
        <v>-0.686884047949608</v>
      </c>
    </row>
    <row r="58" spans="1:57" x14ac:dyDescent="0.25">
      <c r="A58" s="5"/>
      <c r="B58" s="1" t="s">
        <v>89</v>
      </c>
      <c r="C58">
        <v>71613249.542799994</v>
      </c>
      <c r="D58">
        <v>71778356.482800007</v>
      </c>
      <c r="E58">
        <v>71917413.382799998</v>
      </c>
      <c r="F58">
        <v>72129717.892800003</v>
      </c>
      <c r="G58">
        <v>72039866.5528</v>
      </c>
      <c r="H58">
        <v>71669543.952800006</v>
      </c>
      <c r="I58">
        <v>71016008.432799995</v>
      </c>
      <c r="J58">
        <v>70030295.722800002</v>
      </c>
      <c r="K58">
        <v>68806108.282800004</v>
      </c>
      <c r="L58">
        <v>67318146.032800004</v>
      </c>
      <c r="M58">
        <v>65183705.672799997</v>
      </c>
      <c r="N58">
        <v>62702990.362800002</v>
      </c>
      <c r="O58">
        <v>60026453.522799999</v>
      </c>
      <c r="P58">
        <v>57373453.3728</v>
      </c>
      <c r="Q58">
        <v>54836856.842799999</v>
      </c>
      <c r="R58">
        <v>52468202.462800004</v>
      </c>
      <c r="S58">
        <v>50336009.862800002</v>
      </c>
      <c r="T58">
        <v>48376928.092799999</v>
      </c>
      <c r="U58">
        <v>46569012.222800002</v>
      </c>
      <c r="V58">
        <v>44884962.6228</v>
      </c>
      <c r="W58">
        <v>43309735.822800003</v>
      </c>
      <c r="X58">
        <v>41830664.882799998</v>
      </c>
      <c r="Y58">
        <v>41167026.912799999</v>
      </c>
      <c r="Z58">
        <v>40684057.382799998</v>
      </c>
      <c r="AA58">
        <v>40380937.082800001</v>
      </c>
      <c r="AB58">
        <v>40224918.8028</v>
      </c>
      <c r="AC58">
        <v>40150869.704800002</v>
      </c>
      <c r="AD58">
        <v>40114357.448799998</v>
      </c>
      <c r="AE58">
        <v>40106022.656800002</v>
      </c>
      <c r="AF58">
        <v>40110289.092799999</v>
      </c>
      <c r="AG58">
        <v>40119245.1043</v>
      </c>
      <c r="AH58">
        <v>40129756.109399997</v>
      </c>
      <c r="AK58" s="3" t="str">
        <f ca="1">INDIRECT(ADDRESS(58,2))</f>
        <v>Water Heating</v>
      </c>
      <c r="AL58" s="3">
        <f ca="1">INDIRECT(ADDRESS(58,3))</f>
        <v>71613249.542799994</v>
      </c>
      <c r="AM58" s="4">
        <f ca="1">IFERROR(INDIRECT(ADDRESS(58,3)) / INDIRECT(ADDRESS(59,3)),0)</f>
        <v>3.2686009375331671E-2</v>
      </c>
      <c r="AN58" s="3">
        <f ca="1">INDIRECT(ADDRESS(58,9))</f>
        <v>71016008.432799995</v>
      </c>
      <c r="AO58" s="4">
        <f ca="1">IFERROR(INDIRECT(ADDRESS(58,9)) / INDIRECT(ADDRESS(59,9)),0)</f>
        <v>3.5282130563657838E-2</v>
      </c>
      <c r="AP58" s="4">
        <f ca="1">IFERROR((INDIRECT(ADDRESS(58,9)) - INDIRECT(ADDRESS(58,3)))/ INDIRECT(ADDRESS(58,3)),1)</f>
        <v>-8.3398130068522511E-3</v>
      </c>
      <c r="AQ58" s="3">
        <f ca="1">INDIRECT(ADDRESS(58,14))</f>
        <v>62702990.362800002</v>
      </c>
      <c r="AR58" s="4">
        <f ca="1">IFERROR(INDIRECT(ADDRESS(58,14)) / INDIRECT(ADDRESS(59,14)),0)</f>
        <v>3.6410309469985518E-2</v>
      </c>
      <c r="AS58" s="4">
        <f ca="1">IFERROR((INDIRECT(ADDRESS(58,14)) - INDIRECT(ADDRESS(58,3)))/ INDIRECT(ADDRESS(58,3)),1)</f>
        <v>-0.12442193639983805</v>
      </c>
      <c r="AT58" s="3">
        <f ca="1">INDIRECT(ADDRESS(58,19))</f>
        <v>50336009.862800002</v>
      </c>
      <c r="AU58" s="4">
        <f ca="1">IFERROR(INDIRECT(ADDRESS(58,19)) / INDIRECT(ADDRESS(59,19)),0)</f>
        <v>3.2738676065205363E-2</v>
      </c>
      <c r="AV58" s="4">
        <f ca="1">IFERROR((INDIRECT(ADDRESS(58,19)) - INDIRECT(ADDRESS(58,3)))/ INDIRECT(ADDRESS(58,3)),1)</f>
        <v>-0.29711317131732096</v>
      </c>
      <c r="AW58" s="3">
        <f ca="1">INDIRECT(ADDRESS(58,24))</f>
        <v>41830664.882799998</v>
      </c>
      <c r="AX58" s="4">
        <f ca="1">IFERROR(INDIRECT(ADDRESS(58,24)) / INDIRECT(ADDRESS(59,24)),0)</f>
        <v>3.0110619599576206E-2</v>
      </c>
      <c r="AY58" s="4">
        <f ca="1">IFERROR((INDIRECT(ADDRESS(58,24)) - INDIRECT(ADDRESS(58,3)))/ INDIRECT(ADDRESS(58,3)),1)</f>
        <v>-0.41588092776323876</v>
      </c>
      <c r="AZ58" s="3">
        <f ca="1">INDIRECT(ADDRESS(58,29))</f>
        <v>40150869.704800002</v>
      </c>
      <c r="BA58" s="4">
        <f ca="1">IFERROR(INDIRECT(ADDRESS(58,29)) / INDIRECT(ADDRESS(59,29)),0)</f>
        <v>3.0437636286337798E-2</v>
      </c>
      <c r="BB58" s="4">
        <f ca="1">IFERROR((INDIRECT(ADDRESS(58,29)) - INDIRECT(ADDRESS(58,3)))/ INDIRECT(ADDRESS(58,3)),1)</f>
        <v>-0.43933741366109008</v>
      </c>
      <c r="BC58" s="3">
        <f ca="1">INDIRECT(ADDRESS(58,34))</f>
        <v>40129756.109399997</v>
      </c>
      <c r="BD58" s="4">
        <f ca="1">IFERROR(INDIRECT(ADDRESS(58,34)) / INDIRECT(ADDRESS(59,34)),0)</f>
        <v>3.114006253196535E-2</v>
      </c>
      <c r="BE58" s="4">
        <f ca="1">IFERROR((INDIRECT(ADDRESS(58,34)) - INDIRECT(ADDRESS(58,3)))/ INDIRECT(ADDRESS(58,3)),1)</f>
        <v>-0.43963224172062937</v>
      </c>
    </row>
    <row r="59" spans="1:57" x14ac:dyDescent="0.25">
      <c r="A59" s="1" t="s">
        <v>21</v>
      </c>
      <c r="B59" s="1"/>
      <c r="C59">
        <v>2190945022.3937998</v>
      </c>
      <c r="D59">
        <v>2180869697.6838002</v>
      </c>
      <c r="E59">
        <v>2166352953.4560518</v>
      </c>
      <c r="F59">
        <v>2149582399.5924578</v>
      </c>
      <c r="G59">
        <v>2131241617.4538</v>
      </c>
      <c r="H59">
        <v>2101735218.0488</v>
      </c>
      <c r="I59">
        <v>2012803855.6138</v>
      </c>
      <c r="J59">
        <v>1972663403.7778001</v>
      </c>
      <c r="K59">
        <v>1930955990.6157999</v>
      </c>
      <c r="L59">
        <v>1888550512.3308001</v>
      </c>
      <c r="M59">
        <v>1844138362.8268001</v>
      </c>
      <c r="N59">
        <v>1722121873.5998001</v>
      </c>
      <c r="O59">
        <v>1683421232.1933</v>
      </c>
      <c r="P59">
        <v>1646696766.059</v>
      </c>
      <c r="Q59">
        <v>1610676064.1689999</v>
      </c>
      <c r="R59">
        <v>1571405028.4684501</v>
      </c>
      <c r="S59">
        <v>1537509023.35043</v>
      </c>
      <c r="T59">
        <v>1508474249.4924099</v>
      </c>
      <c r="U59">
        <v>1478614867.5457301</v>
      </c>
      <c r="V59">
        <v>1448363557.42417</v>
      </c>
      <c r="W59">
        <v>1417936996.97785</v>
      </c>
      <c r="X59">
        <v>1389232949.6729701</v>
      </c>
      <c r="Y59">
        <v>1376439629.2681</v>
      </c>
      <c r="Z59">
        <v>1365679369.1356699</v>
      </c>
      <c r="AA59">
        <v>1355913707.99668</v>
      </c>
      <c r="AB59">
        <v>1346826755.6343</v>
      </c>
      <c r="AC59">
        <v>1319119176.2424099</v>
      </c>
      <c r="AD59">
        <v>1311931742.1835699</v>
      </c>
      <c r="AE59">
        <v>1305361801.4474399</v>
      </c>
      <c r="AF59">
        <v>1299320560.3759601</v>
      </c>
      <c r="AG59">
        <v>1293246343.7084999</v>
      </c>
      <c r="AH59">
        <v>1288685790.7946301</v>
      </c>
    </row>
    <row r="60" spans="1:57" x14ac:dyDescent="0.25">
      <c r="A60" s="5" t="s">
        <v>2</v>
      </c>
      <c r="B60" s="1" t="s">
        <v>24</v>
      </c>
      <c r="C60">
        <v>653072660.62</v>
      </c>
      <c r="D60">
        <v>651789723.70000005</v>
      </c>
      <c r="E60">
        <v>651789722.59000003</v>
      </c>
      <c r="F60">
        <v>651789722.59000003</v>
      </c>
      <c r="G60">
        <v>651789707.84150004</v>
      </c>
      <c r="H60">
        <v>651789710.99800003</v>
      </c>
      <c r="I60">
        <v>607675670.33000004</v>
      </c>
      <c r="J60">
        <v>607675671.43000007</v>
      </c>
      <c r="K60">
        <v>607675670.63999999</v>
      </c>
      <c r="L60">
        <v>607675672.25</v>
      </c>
      <c r="M60">
        <v>607675671.29999995</v>
      </c>
      <c r="N60">
        <v>525202781.55000001</v>
      </c>
      <c r="O60">
        <v>525202782.69</v>
      </c>
      <c r="P60">
        <v>525202782.63</v>
      </c>
      <c r="Q60">
        <v>525202792.67000002</v>
      </c>
      <c r="R60">
        <v>525202782.50999999</v>
      </c>
      <c r="S60">
        <v>525202792.55000001</v>
      </c>
      <c r="T60">
        <v>525202792.64999998</v>
      </c>
      <c r="U60">
        <v>525202782.53899997</v>
      </c>
      <c r="V60">
        <v>525202782.53899997</v>
      </c>
      <c r="W60">
        <v>525202783.52899998</v>
      </c>
      <c r="X60">
        <v>525202782.57999998</v>
      </c>
      <c r="Y60">
        <v>525202792.67000002</v>
      </c>
      <c r="Z60">
        <v>525202783.25999999</v>
      </c>
      <c r="AA60">
        <v>525202783.26899999</v>
      </c>
      <c r="AB60">
        <v>525202782.329</v>
      </c>
      <c r="AC60">
        <v>504584551.38</v>
      </c>
      <c r="AD60">
        <v>504584550.921</v>
      </c>
      <c r="AE60">
        <v>504584560.12099999</v>
      </c>
      <c r="AF60">
        <v>504584562.92803973</v>
      </c>
      <c r="AG60">
        <v>504584550.71803981</v>
      </c>
      <c r="AH60">
        <v>504584550.71803981</v>
      </c>
      <c r="AK60" s="3" t="str">
        <f ca="1">INDIRECT(ADDRESS(60,2))</f>
        <v>Energy Production</v>
      </c>
      <c r="AL60" s="3">
        <f ca="1">INDIRECT(ADDRESS(60,3))</f>
        <v>653072660.62</v>
      </c>
      <c r="AM60" s="4">
        <f ca="1">IFERROR(INDIRECT(ADDRESS(60,3)) / INDIRECT(ADDRESS(69,3)),0)</f>
        <v>0.29807806857082192</v>
      </c>
      <c r="AN60" s="3">
        <f ca="1">INDIRECT(ADDRESS(60,9))</f>
        <v>607675670.33000004</v>
      </c>
      <c r="AO60" s="4">
        <f ca="1">IFERROR(INDIRECT(ADDRESS(60,9)) / INDIRECT(ADDRESS(69,9)),0)</f>
        <v>0.29653711129801447</v>
      </c>
      <c r="AP60" s="4">
        <f ca="1">IFERROR((INDIRECT(ADDRESS(60,9)) - INDIRECT(ADDRESS(60,3)))/ INDIRECT(ADDRESS(60,3)),1)</f>
        <v>-6.9512924100822021E-2</v>
      </c>
      <c r="AQ60" s="3">
        <f ca="1">INDIRECT(ADDRESS(60,14))</f>
        <v>525202781.55000001</v>
      </c>
      <c r="AR60" s="4">
        <f ca="1">IFERROR(INDIRECT(ADDRESS(60,14)) / INDIRECT(ADDRESS(69,14)),0)</f>
        <v>0.29257602020274354</v>
      </c>
      <c r="AS60" s="4">
        <f ca="1">IFERROR((INDIRECT(ADDRESS(60,14)) - INDIRECT(ADDRESS(60,3)))/ INDIRECT(ADDRESS(60,3)),1)</f>
        <v>-0.19579732360654273</v>
      </c>
      <c r="AT60" s="3">
        <f ca="1">INDIRECT(ADDRESS(60,19))</f>
        <v>525202792.55000001</v>
      </c>
      <c r="AU60" s="4">
        <f ca="1">IFERROR(INDIRECT(ADDRESS(60,19)) / INDIRECT(ADDRESS(69,19)),0)</f>
        <v>0.31803674218947126</v>
      </c>
      <c r="AV60" s="4">
        <f ca="1">IFERROR((INDIRECT(ADDRESS(60,19)) - INDIRECT(ADDRESS(60,3)))/ INDIRECT(ADDRESS(60,3)),1)</f>
        <v>-0.19579730676308768</v>
      </c>
      <c r="AW60" s="3">
        <f ca="1">INDIRECT(ADDRESS(60,24))</f>
        <v>525202782.57999998</v>
      </c>
      <c r="AX60" s="4">
        <f ca="1">IFERROR(INDIRECT(ADDRESS(60,24)) / INDIRECT(ADDRESS(69,24)),0)</f>
        <v>0.34784804804770292</v>
      </c>
      <c r="AY60" s="4">
        <f ca="1">IFERROR((INDIRECT(ADDRESS(60,24)) - INDIRECT(ADDRESS(60,3)))/ INDIRECT(ADDRESS(60,3)),1)</f>
        <v>-0.19579732202938288</v>
      </c>
      <c r="AZ60" s="3">
        <f ca="1">INDIRECT(ADDRESS(60,29))</f>
        <v>504584551.38</v>
      </c>
      <c r="BA60" s="4">
        <f ca="1">IFERROR(INDIRECT(ADDRESS(60,29)) / INDIRECT(ADDRESS(69,29)),0)</f>
        <v>0.3490388216903777</v>
      </c>
      <c r="BB60" s="4">
        <f ca="1">IFERROR((INDIRECT(ADDRESS(60,29)) - INDIRECT(ADDRESS(60,3)))/ INDIRECT(ADDRESS(60,3)),1)</f>
        <v>-0.22736843569447782</v>
      </c>
      <c r="BC60" s="3">
        <f ca="1">INDIRECT(ADDRESS(60,34))</f>
        <v>504584550.71803981</v>
      </c>
      <c r="BD60" s="4">
        <f ca="1">IFERROR(INDIRECT(ADDRESS(60,34)) / INDIRECT(ADDRESS(69,34)),0)</f>
        <v>0.35483965528386519</v>
      </c>
      <c r="BE60" s="4">
        <f ca="1">IFERROR((INDIRECT(ADDRESS(60,34)) - INDIRECT(ADDRESS(60,3)))/ INDIRECT(ADDRESS(60,3)),1)</f>
        <v>-0.2273684367080866</v>
      </c>
    </row>
    <row r="61" spans="1:57" x14ac:dyDescent="0.25">
      <c r="A61" s="5"/>
      <c r="B61" s="1" t="s">
        <v>83</v>
      </c>
      <c r="C61">
        <v>452108148.43599999</v>
      </c>
      <c r="D61">
        <v>452108144.05599999</v>
      </c>
      <c r="E61">
        <v>452108135.16060001</v>
      </c>
      <c r="F61">
        <v>457876078.00599998</v>
      </c>
      <c r="G61">
        <v>463057227.84299999</v>
      </c>
      <c r="H61">
        <v>470286318.97500002</v>
      </c>
      <c r="I61">
        <v>471169080.44300002</v>
      </c>
      <c r="J61">
        <v>472106251.93599999</v>
      </c>
      <c r="K61">
        <v>472872580.85600001</v>
      </c>
      <c r="L61">
        <v>473486023.98299998</v>
      </c>
      <c r="M61">
        <v>473816128.45700002</v>
      </c>
      <c r="N61">
        <v>474044917.65799999</v>
      </c>
      <c r="O61">
        <v>476658006.454</v>
      </c>
      <c r="P61">
        <v>479031997.87099999</v>
      </c>
      <c r="Q61">
        <v>481207021.05900002</v>
      </c>
      <c r="R61">
        <v>483163914.63099998</v>
      </c>
      <c r="S61">
        <v>485211862.49400002</v>
      </c>
      <c r="T61">
        <v>482802929.00199997</v>
      </c>
      <c r="U61">
        <v>480552013.26899999</v>
      </c>
      <c r="V61">
        <v>478443174.352</v>
      </c>
      <c r="W61">
        <v>476418175.46799999</v>
      </c>
      <c r="X61">
        <v>474606124.08600003</v>
      </c>
      <c r="Y61">
        <v>472801013.292</v>
      </c>
      <c r="Z61">
        <v>471083225.72600001</v>
      </c>
      <c r="AA61">
        <v>469438987.62900001</v>
      </c>
      <c r="AB61">
        <v>467843064.63499999</v>
      </c>
      <c r="AC61">
        <v>466399957.87400001</v>
      </c>
      <c r="AD61">
        <v>464784627.96499997</v>
      </c>
      <c r="AE61">
        <v>463214064.67500001</v>
      </c>
      <c r="AF61">
        <v>461684028.22084951</v>
      </c>
      <c r="AG61">
        <v>460150785.24749333</v>
      </c>
      <c r="AH61">
        <v>458735309.11296862</v>
      </c>
      <c r="AK61" s="3" t="str">
        <f ca="1">INDIRECT(ADDRESS(61,2))</f>
        <v>Industrial Processes</v>
      </c>
      <c r="AL61" s="3">
        <f ca="1">INDIRECT(ADDRESS(61,3))</f>
        <v>452108148.43599999</v>
      </c>
      <c r="AM61" s="4">
        <f ca="1">IFERROR(INDIRECT(ADDRESS(61,3)) / INDIRECT(ADDRESS(69,3)),0)</f>
        <v>0.20635303205464833</v>
      </c>
      <c r="AN61" s="3">
        <f ca="1">INDIRECT(ADDRESS(61,9))</f>
        <v>471169080.44300002</v>
      </c>
      <c r="AO61" s="4">
        <f ca="1">IFERROR(INDIRECT(ADDRESS(61,9)) / INDIRECT(ADDRESS(69,9)),0)</f>
        <v>0.22992383086792689</v>
      </c>
      <c r="AP61" s="4">
        <f ca="1">IFERROR((INDIRECT(ADDRESS(61,9)) - INDIRECT(ADDRESS(61,3)))/ INDIRECT(ADDRESS(61,3)),1)</f>
        <v>4.2160116053954019E-2</v>
      </c>
      <c r="AQ61" s="3">
        <f ca="1">INDIRECT(ADDRESS(61,14))</f>
        <v>474044917.65799999</v>
      </c>
      <c r="AR61" s="4">
        <f ca="1">IFERROR(INDIRECT(ADDRESS(61,14)) / INDIRECT(ADDRESS(69,14)),0)</f>
        <v>0.2640773816855938</v>
      </c>
      <c r="AS61" s="4">
        <f ca="1">IFERROR((INDIRECT(ADDRESS(61,14)) - INDIRECT(ADDRESS(61,3)))/ INDIRECT(ADDRESS(61,3)),1)</f>
        <v>4.8521065806681321E-2</v>
      </c>
      <c r="AT61" s="3">
        <f ca="1">INDIRECT(ADDRESS(61,19))</f>
        <v>485211862.49400002</v>
      </c>
      <c r="AU61" s="4">
        <f ca="1">IFERROR(INDIRECT(ADDRESS(61,19)) / INDIRECT(ADDRESS(69,19)),0)</f>
        <v>0.29382021993835161</v>
      </c>
      <c r="AV61" s="4">
        <f ca="1">IFERROR((INDIRECT(ADDRESS(61,19)) - INDIRECT(ADDRESS(61,3)))/ INDIRECT(ADDRESS(61,3)),1)</f>
        <v>7.322078616038516E-2</v>
      </c>
      <c r="AW61" s="3">
        <f ca="1">INDIRECT(ADDRESS(61,24))</f>
        <v>474606124.08600003</v>
      </c>
      <c r="AX61" s="4">
        <f ca="1">IFERROR(INDIRECT(ADDRESS(61,24)) / INDIRECT(ADDRESS(69,24)),0)</f>
        <v>0.31433727948624113</v>
      </c>
      <c r="AY61" s="4">
        <f ca="1">IFERROR((INDIRECT(ADDRESS(61,24)) - INDIRECT(ADDRESS(61,3)))/ INDIRECT(ADDRESS(61,3)),1)</f>
        <v>4.9762375944402665E-2</v>
      </c>
      <c r="AZ61" s="3">
        <f ca="1">INDIRECT(ADDRESS(61,29))</f>
        <v>466399957.87400001</v>
      </c>
      <c r="BA61" s="4">
        <f ca="1">IFERROR(INDIRECT(ADDRESS(61,29)) / INDIRECT(ADDRESS(69,29)),0)</f>
        <v>0.32262519985512833</v>
      </c>
      <c r="BB61" s="4">
        <f ca="1">IFERROR((INDIRECT(ADDRESS(61,29)) - INDIRECT(ADDRESS(61,3)))/ INDIRECT(ADDRESS(61,3)),1)</f>
        <v>3.1611483861638826E-2</v>
      </c>
      <c r="BC61" s="3">
        <f ca="1">INDIRECT(ADDRESS(61,34))</f>
        <v>458735309.11296862</v>
      </c>
      <c r="BD61" s="4">
        <f ca="1">IFERROR(INDIRECT(ADDRESS(61,34)) / INDIRECT(ADDRESS(69,34)),0)</f>
        <v>0.32259703298593984</v>
      </c>
      <c r="BE61" s="4">
        <f ca="1">IFERROR((INDIRECT(ADDRESS(61,34)) - INDIRECT(ADDRESS(61,3)))/ INDIRECT(ADDRESS(61,3)),1)</f>
        <v>1.4658352652776327E-2</v>
      </c>
    </row>
    <row r="62" spans="1:57" x14ac:dyDescent="0.25">
      <c r="A62" s="5"/>
      <c r="B62" s="1" t="s">
        <v>84</v>
      </c>
      <c r="C62">
        <v>47932011.942000002</v>
      </c>
      <c r="D62">
        <v>47837688.825999998</v>
      </c>
      <c r="E62">
        <v>48069418.412</v>
      </c>
      <c r="F62">
        <v>48304901.685999997</v>
      </c>
      <c r="G62">
        <v>48467428.731999993</v>
      </c>
      <c r="H62">
        <v>48465251.946999997</v>
      </c>
      <c r="I62">
        <v>48232276.167999998</v>
      </c>
      <c r="J62">
        <v>47746167.718999997</v>
      </c>
      <c r="K62">
        <v>47212349.174999997</v>
      </c>
      <c r="L62">
        <v>46633108.933000013</v>
      </c>
      <c r="M62">
        <v>46000743.359999999</v>
      </c>
      <c r="N62">
        <v>45160578.567000002</v>
      </c>
      <c r="O62">
        <v>44237300.303999998</v>
      </c>
      <c r="P62">
        <v>43251106.513999999</v>
      </c>
      <c r="Q62">
        <v>42185264.968999997</v>
      </c>
      <c r="R62">
        <v>41032517.038000003</v>
      </c>
      <c r="S62">
        <v>39819910.818999998</v>
      </c>
      <c r="T62">
        <v>38489598.566</v>
      </c>
      <c r="U62">
        <v>37028364.914999999</v>
      </c>
      <c r="V62">
        <v>35393061.876000002</v>
      </c>
      <c r="W62">
        <v>33575133.572999999</v>
      </c>
      <c r="X62">
        <v>31541013.116</v>
      </c>
      <c r="Y62">
        <v>31134069.686999999</v>
      </c>
      <c r="Z62">
        <v>30794842.298</v>
      </c>
      <c r="AA62">
        <v>30539882.978999998</v>
      </c>
      <c r="AB62">
        <v>30374846.364</v>
      </c>
      <c r="AC62">
        <v>30213468.910999998</v>
      </c>
      <c r="AD62">
        <v>30058266.383000001</v>
      </c>
      <c r="AE62">
        <v>29903976.070999999</v>
      </c>
      <c r="AF62">
        <v>29750055.120999999</v>
      </c>
      <c r="AG62">
        <v>29597926.539000001</v>
      </c>
      <c r="AH62">
        <v>29447141.291999999</v>
      </c>
      <c r="AK62" s="3" t="str">
        <f ca="1">INDIRECT(ADDRESS(62,2))</f>
        <v>Lighting</v>
      </c>
      <c r="AL62" s="3">
        <f ca="1">INDIRECT(ADDRESS(62,3))</f>
        <v>47932011.942000002</v>
      </c>
      <c r="AM62" s="4">
        <f ca="1">IFERROR(INDIRECT(ADDRESS(62,3)) / INDIRECT(ADDRESS(69,3)),0)</f>
        <v>2.1877323005407991E-2</v>
      </c>
      <c r="AN62" s="3">
        <f ca="1">INDIRECT(ADDRESS(62,9))</f>
        <v>48232276.167999998</v>
      </c>
      <c r="AO62" s="4">
        <f ca="1">IFERROR(INDIRECT(ADDRESS(62,9)) / INDIRECT(ADDRESS(69,9)),0)</f>
        <v>2.353666691710676E-2</v>
      </c>
      <c r="AP62" s="4">
        <f ca="1">IFERROR((INDIRECT(ADDRESS(62,9)) - INDIRECT(ADDRESS(62,3)))/ INDIRECT(ADDRESS(62,3)),1)</f>
        <v>6.2643776848618406E-3</v>
      </c>
      <c r="AQ62" s="3">
        <f ca="1">INDIRECT(ADDRESS(62,14))</f>
        <v>45160578.567000002</v>
      </c>
      <c r="AR62" s="4">
        <f ca="1">IFERROR(INDIRECT(ADDRESS(62,14)) / INDIRECT(ADDRESS(69,14)),0)</f>
        <v>2.5157715860132573E-2</v>
      </c>
      <c r="AS62" s="4">
        <f ca="1">IFERROR((INDIRECT(ADDRESS(62,14)) - INDIRECT(ADDRESS(62,3)))/ INDIRECT(ADDRESS(62,3)),1)</f>
        <v>-5.7820092725370371E-2</v>
      </c>
      <c r="AT62" s="3">
        <f ca="1">INDIRECT(ADDRESS(62,19))</f>
        <v>39819910.818999998</v>
      </c>
      <c r="AU62" s="4">
        <f ca="1">IFERROR(INDIRECT(ADDRESS(62,19)) / INDIRECT(ADDRESS(69,19)),0)</f>
        <v>2.4112961489907523E-2</v>
      </c>
      <c r="AV62" s="4">
        <f ca="1">IFERROR((INDIRECT(ADDRESS(62,19)) - INDIRECT(ADDRESS(62,3)))/ INDIRECT(ADDRESS(62,3)),1)</f>
        <v>-0.16924182387369904</v>
      </c>
      <c r="AW62" s="3">
        <f ca="1">INDIRECT(ADDRESS(62,24))</f>
        <v>31541013.116</v>
      </c>
      <c r="AX62" s="4">
        <f ca="1">IFERROR(INDIRECT(ADDRESS(62,24)) / INDIRECT(ADDRESS(69,24)),0)</f>
        <v>2.088998803843237E-2</v>
      </c>
      <c r="AY62" s="4">
        <f ca="1">IFERROR((INDIRECT(ADDRESS(62,24)) - INDIRECT(ADDRESS(62,3)))/ INDIRECT(ADDRESS(62,3)),1)</f>
        <v>-0.34196350543002207</v>
      </c>
      <c r="AZ62" s="3">
        <f ca="1">INDIRECT(ADDRESS(62,29))</f>
        <v>30213468.910999998</v>
      </c>
      <c r="BA62" s="4">
        <f ca="1">IFERROR(INDIRECT(ADDRESS(62,29)) / INDIRECT(ADDRESS(69,29)),0)</f>
        <v>2.0899715536341117E-2</v>
      </c>
      <c r="BB62" s="4">
        <f ca="1">IFERROR((INDIRECT(ADDRESS(62,29)) - INDIRECT(ADDRESS(62,3)))/ INDIRECT(ADDRESS(62,3)),1)</f>
        <v>-0.36965990604442556</v>
      </c>
      <c r="BC62" s="3">
        <f ca="1">INDIRECT(ADDRESS(62,34))</f>
        <v>29447141.291999999</v>
      </c>
      <c r="BD62" s="4">
        <f ca="1">IFERROR(INDIRECT(ADDRESS(62,34)) / INDIRECT(ADDRESS(69,34)),0)</f>
        <v>2.0708151786017377E-2</v>
      </c>
      <c r="BE62" s="4">
        <f ca="1">IFERROR((INDIRECT(ADDRESS(62,34)) - INDIRECT(ADDRESS(62,3)))/ INDIRECT(ADDRESS(62,3)),1)</f>
        <v>-0.38564771018515909</v>
      </c>
    </row>
    <row r="63" spans="1:57" x14ac:dyDescent="0.25">
      <c r="A63" s="5"/>
      <c r="B63" s="1" t="s">
        <v>85</v>
      </c>
      <c r="C63">
        <v>25078806.98</v>
      </c>
      <c r="D63">
        <v>25207328.789999999</v>
      </c>
      <c r="E63">
        <v>25276348.300000001</v>
      </c>
      <c r="F63">
        <v>25415838.390000001</v>
      </c>
      <c r="G63">
        <v>25484771.890000001</v>
      </c>
      <c r="H63">
        <v>25530176.949999999</v>
      </c>
      <c r="I63">
        <v>25442989.120000001</v>
      </c>
      <c r="J63">
        <v>25313446.670000002</v>
      </c>
      <c r="K63">
        <v>25154826.579999998</v>
      </c>
      <c r="L63">
        <v>24964001.399999999</v>
      </c>
      <c r="M63">
        <v>24738143.289999999</v>
      </c>
      <c r="N63">
        <v>24362358.02</v>
      </c>
      <c r="O63">
        <v>23944598.98</v>
      </c>
      <c r="P63">
        <v>23487268.850000001</v>
      </c>
      <c r="Q63">
        <v>22984870.579999998</v>
      </c>
      <c r="R63">
        <v>22437806.23</v>
      </c>
      <c r="S63">
        <v>21960845.670000002</v>
      </c>
      <c r="T63">
        <v>21441242.989999998</v>
      </c>
      <c r="U63">
        <v>20898022.75</v>
      </c>
      <c r="V63">
        <v>20333411.780000001</v>
      </c>
      <c r="W63">
        <v>19773973.140000001</v>
      </c>
      <c r="X63">
        <v>19215624.789999999</v>
      </c>
      <c r="Y63">
        <v>19142812.32</v>
      </c>
      <c r="Z63">
        <v>19163877.969999999</v>
      </c>
      <c r="AA63">
        <v>19183959.390000001</v>
      </c>
      <c r="AB63">
        <v>19202649.129999999</v>
      </c>
      <c r="AC63">
        <v>19218015.98</v>
      </c>
      <c r="AD63">
        <v>19222073.91</v>
      </c>
      <c r="AE63">
        <v>19226463.449999999</v>
      </c>
      <c r="AF63">
        <v>19230352.437627058</v>
      </c>
      <c r="AG63">
        <v>19238538.71764401</v>
      </c>
      <c r="AH63">
        <v>19247753.12766286</v>
      </c>
      <c r="AK63" s="3" t="str">
        <f ca="1">INDIRECT(ADDRESS(63,2))</f>
        <v>Major Appliances</v>
      </c>
      <c r="AL63" s="3">
        <f ca="1">INDIRECT(ADDRESS(63,3))</f>
        <v>25078806.98</v>
      </c>
      <c r="AM63" s="4">
        <f ca="1">IFERROR(INDIRECT(ADDRESS(63,3)) / INDIRECT(ADDRESS(69,3)),0)</f>
        <v>1.1446570645848156E-2</v>
      </c>
      <c r="AN63" s="3">
        <f ca="1">INDIRECT(ADDRESS(63,9))</f>
        <v>25442989.120000001</v>
      </c>
      <c r="AO63" s="4">
        <f ca="1">IFERROR(INDIRECT(ADDRESS(63,9)) / INDIRECT(ADDRESS(69,9)),0)</f>
        <v>1.2415817951596436E-2</v>
      </c>
      <c r="AP63" s="4">
        <f ca="1">IFERROR((INDIRECT(ADDRESS(63,9)) - INDIRECT(ADDRESS(63,3)))/ INDIRECT(ADDRESS(63,3)),1)</f>
        <v>1.4521509746872361E-2</v>
      </c>
      <c r="AQ63" s="3">
        <f ca="1">INDIRECT(ADDRESS(63,14))</f>
        <v>24362358.02</v>
      </c>
      <c r="AR63" s="4">
        <f ca="1">IFERROR(INDIRECT(ADDRESS(63,14)) / INDIRECT(ADDRESS(69,14)),0)</f>
        <v>1.3571599394828054E-2</v>
      </c>
      <c r="AS63" s="4">
        <f ca="1">IFERROR((INDIRECT(ADDRESS(63,14)) - INDIRECT(ADDRESS(63,3)))/ INDIRECT(ADDRESS(63,3)),1)</f>
        <v>-2.8567904389206353E-2</v>
      </c>
      <c r="AT63" s="3">
        <f ca="1">INDIRECT(ADDRESS(63,19))</f>
        <v>21960845.670000002</v>
      </c>
      <c r="AU63" s="4">
        <f ca="1">IFERROR(INDIRECT(ADDRESS(63,19)) / INDIRECT(ADDRESS(69,19)),0)</f>
        <v>1.3298398088672838E-2</v>
      </c>
      <c r="AV63" s="4">
        <f ca="1">IFERROR((INDIRECT(ADDRESS(63,19)) - INDIRECT(ADDRESS(63,3)))/ INDIRECT(ADDRESS(63,3)),1)</f>
        <v>-0.12432654043258634</v>
      </c>
      <c r="AW63" s="3">
        <f ca="1">INDIRECT(ADDRESS(63,24))</f>
        <v>19215624.789999999</v>
      </c>
      <c r="AX63" s="4">
        <f ca="1">IFERROR(INDIRECT(ADDRESS(63,24)) / INDIRECT(ADDRESS(69,24)),0)</f>
        <v>1.2726736789899646E-2</v>
      </c>
      <c r="AY63" s="4">
        <f ca="1">IFERROR((INDIRECT(ADDRESS(63,24)) - INDIRECT(ADDRESS(63,3)))/ INDIRECT(ADDRESS(63,3)),1)</f>
        <v>-0.2337903152520695</v>
      </c>
      <c r="AZ63" s="3">
        <f ca="1">INDIRECT(ADDRESS(63,29))</f>
        <v>19218015.98</v>
      </c>
      <c r="BA63" s="4">
        <f ca="1">IFERROR(INDIRECT(ADDRESS(63,29)) / INDIRECT(ADDRESS(69,29)),0)</f>
        <v>1.3293775313851047E-2</v>
      </c>
      <c r="BB63" s="4">
        <f ca="1">IFERROR((INDIRECT(ADDRESS(63,29)) - INDIRECT(ADDRESS(63,3)))/ INDIRECT(ADDRESS(63,3)),1)</f>
        <v>-0.23369496821255889</v>
      </c>
      <c r="BC63" s="3">
        <f ca="1">INDIRECT(ADDRESS(63,34))</f>
        <v>19247753.12766286</v>
      </c>
      <c r="BD63" s="4">
        <f ca="1">IFERROR(INDIRECT(ADDRESS(63,34)) / INDIRECT(ADDRESS(69,34)),0)</f>
        <v>1.353562267233452E-2</v>
      </c>
      <c r="BE63" s="4">
        <f ca="1">IFERROR((INDIRECT(ADDRESS(63,34)) - INDIRECT(ADDRESS(63,3)))/ INDIRECT(ADDRESS(63,3)),1)</f>
        <v>-0.23250922011510855</v>
      </c>
    </row>
    <row r="64" spans="1:57" x14ac:dyDescent="0.25">
      <c r="A64" s="5"/>
      <c r="B64" s="1" t="s">
        <v>86</v>
      </c>
      <c r="C64">
        <v>110616717.56999999</v>
      </c>
      <c r="D64">
        <v>110804355.98999999</v>
      </c>
      <c r="E64">
        <v>111546898.59</v>
      </c>
      <c r="F64">
        <v>112395791.62</v>
      </c>
      <c r="G64">
        <v>113015538.79700001</v>
      </c>
      <c r="H64">
        <v>113295454.26000001</v>
      </c>
      <c r="I64">
        <v>113095485.48</v>
      </c>
      <c r="J64">
        <v>112286691.95</v>
      </c>
      <c r="K64">
        <v>111357310.29000001</v>
      </c>
      <c r="L64">
        <v>110308100.13</v>
      </c>
      <c r="M64">
        <v>109120922.18000001</v>
      </c>
      <c r="N64">
        <v>107457470.23</v>
      </c>
      <c r="O64">
        <v>105566453.09</v>
      </c>
      <c r="P64">
        <v>103514609.08</v>
      </c>
      <c r="Q64">
        <v>101264277.43000001</v>
      </c>
      <c r="R64">
        <v>98802189.929999992</v>
      </c>
      <c r="S64">
        <v>96276703.829999998</v>
      </c>
      <c r="T64">
        <v>93463917.040000007</v>
      </c>
      <c r="U64">
        <v>90379156.329999998</v>
      </c>
      <c r="V64">
        <v>86950580.090000004</v>
      </c>
      <c r="W64">
        <v>83186071.120000005</v>
      </c>
      <c r="X64">
        <v>79004350.579999998</v>
      </c>
      <c r="Y64">
        <v>78505802.829999998</v>
      </c>
      <c r="Z64">
        <v>78244963.640000001</v>
      </c>
      <c r="AA64">
        <v>78142734.840000004</v>
      </c>
      <c r="AB64">
        <v>78208946.650000006</v>
      </c>
      <c r="AC64">
        <v>78277542.63000001</v>
      </c>
      <c r="AD64">
        <v>78351028.790000007</v>
      </c>
      <c r="AE64">
        <v>78424939.924999997</v>
      </c>
      <c r="AF64">
        <v>78497742.996630222</v>
      </c>
      <c r="AG64">
        <v>78579072.646556869</v>
      </c>
      <c r="AH64">
        <v>78665027.556484371</v>
      </c>
      <c r="AK64" s="3" t="str">
        <f ca="1">INDIRECT(ADDRESS(64,2))</f>
        <v>Plug Load</v>
      </c>
      <c r="AL64" s="3">
        <f ca="1">INDIRECT(ADDRESS(64,3))</f>
        <v>110616717.56999999</v>
      </c>
      <c r="AM64" s="4">
        <f ca="1">IFERROR(INDIRECT(ADDRESS(64,3)) / INDIRECT(ADDRESS(69,3)),0)</f>
        <v>5.0488130208370778E-2</v>
      </c>
      <c r="AN64" s="3">
        <f ca="1">INDIRECT(ADDRESS(64,9))</f>
        <v>113095485.48</v>
      </c>
      <c r="AO64" s="4">
        <f ca="1">IFERROR(INDIRECT(ADDRESS(64,9)) / INDIRECT(ADDRESS(69,9)),0)</f>
        <v>5.5188993409713727E-2</v>
      </c>
      <c r="AP64" s="4">
        <f ca="1">IFERROR((INDIRECT(ADDRESS(64,9)) - INDIRECT(ADDRESS(64,3)))/ INDIRECT(ADDRESS(64,3)),1)</f>
        <v>2.2408619279734171E-2</v>
      </c>
      <c r="AQ64" s="3">
        <f ca="1">INDIRECT(ADDRESS(64,14))</f>
        <v>107457470.23</v>
      </c>
      <c r="AR64" s="4">
        <f ca="1">IFERROR(INDIRECT(ADDRESS(64,14)) / INDIRECT(ADDRESS(69,14)),0)</f>
        <v>5.9861600291153658E-2</v>
      </c>
      <c r="AS64" s="4">
        <f ca="1">IFERROR((INDIRECT(ADDRESS(64,14)) - INDIRECT(ADDRESS(64,3)))/ INDIRECT(ADDRESS(64,3)),1)</f>
        <v>-2.8560306338874748E-2</v>
      </c>
      <c r="AT64" s="3">
        <f ca="1">INDIRECT(ADDRESS(64,19))</f>
        <v>96276703.829999998</v>
      </c>
      <c r="AU64" s="4">
        <f ca="1">IFERROR(INDIRECT(ADDRESS(64,19)) / INDIRECT(ADDRESS(69,19)),0)</f>
        <v>5.8300393046594033E-2</v>
      </c>
      <c r="AV64" s="4">
        <f ca="1">IFERROR((INDIRECT(ADDRESS(64,19)) - INDIRECT(ADDRESS(64,3)))/ INDIRECT(ADDRESS(64,3)),1)</f>
        <v>-0.12963694869110004</v>
      </c>
      <c r="AW64" s="3">
        <f ca="1">INDIRECT(ADDRESS(64,24))</f>
        <v>79004350.579999998</v>
      </c>
      <c r="AX64" s="4">
        <f ca="1">IFERROR(INDIRECT(ADDRESS(64,24)) / INDIRECT(ADDRESS(69,24)),0)</f>
        <v>5.2325520823651321E-2</v>
      </c>
      <c r="AY64" s="4">
        <f ca="1">IFERROR((INDIRECT(ADDRESS(64,24)) - INDIRECT(ADDRESS(64,3)))/ INDIRECT(ADDRESS(64,3)),1)</f>
        <v>-0.28578290591560174</v>
      </c>
      <c r="AZ64" s="3">
        <f ca="1">INDIRECT(ADDRESS(64,29))</f>
        <v>78277542.63000001</v>
      </c>
      <c r="BA64" s="4">
        <f ca="1">IFERROR(INDIRECT(ADDRESS(64,29)) / INDIRECT(ADDRESS(69,29)),0)</f>
        <v>5.4147320146188012E-2</v>
      </c>
      <c r="BB64" s="4">
        <f ca="1">IFERROR((INDIRECT(ADDRESS(64,29)) - INDIRECT(ADDRESS(64,3)))/ INDIRECT(ADDRESS(64,3)),1)</f>
        <v>-0.29235341321292818</v>
      </c>
      <c r="BC64" s="3">
        <f ca="1">INDIRECT(ADDRESS(64,34))</f>
        <v>78665027.556484371</v>
      </c>
      <c r="BD64" s="4">
        <f ca="1">IFERROR(INDIRECT(ADDRESS(64,34)) / INDIRECT(ADDRESS(69,34)),0)</f>
        <v>5.5319710485223765E-2</v>
      </c>
      <c r="BE64" s="4">
        <f ca="1">IFERROR((INDIRECT(ADDRESS(64,34)) - INDIRECT(ADDRESS(64,3)))/ INDIRECT(ADDRESS(64,3)),1)</f>
        <v>-0.28885046234802703</v>
      </c>
    </row>
    <row r="65" spans="1:57" x14ac:dyDescent="0.25">
      <c r="A65" s="5"/>
      <c r="B65" s="1" t="s">
        <v>87</v>
      </c>
      <c r="C65">
        <v>11701098.921</v>
      </c>
      <c r="D65">
        <v>11853983.017000001</v>
      </c>
      <c r="E65">
        <v>12018035.221999999</v>
      </c>
      <c r="F65">
        <v>12189549.183</v>
      </c>
      <c r="G65">
        <v>12352177.32746</v>
      </c>
      <c r="H65">
        <v>12323480.2006</v>
      </c>
      <c r="I65">
        <v>12256595.8849</v>
      </c>
      <c r="J65">
        <v>12131100.325099999</v>
      </c>
      <c r="K65">
        <v>11997270.607000001</v>
      </c>
      <c r="L65">
        <v>11849953.681</v>
      </c>
      <c r="M65">
        <v>11743399.165999999</v>
      </c>
      <c r="N65">
        <v>11582924.399</v>
      </c>
      <c r="O65">
        <v>11399713.142000001</v>
      </c>
      <c r="P65">
        <v>11205882.711999999</v>
      </c>
      <c r="Q65">
        <v>11000090.095000001</v>
      </c>
      <c r="R65">
        <v>10781111.742000001</v>
      </c>
      <c r="S65">
        <v>10608334.276000001</v>
      </c>
      <c r="T65">
        <v>10411254.059</v>
      </c>
      <c r="U65">
        <v>10188465.723999999</v>
      </c>
      <c r="V65">
        <v>9934237.6999999993</v>
      </c>
      <c r="W65">
        <v>9645759.6520000007</v>
      </c>
      <c r="X65">
        <v>9316056.3049999997</v>
      </c>
      <c r="Y65">
        <v>9309939.709999999</v>
      </c>
      <c r="Z65">
        <v>9310575.5529999994</v>
      </c>
      <c r="AA65">
        <v>9323373.4539999999</v>
      </c>
      <c r="AB65">
        <v>9359046.7960999999</v>
      </c>
      <c r="AC65">
        <v>9404956.4065000005</v>
      </c>
      <c r="AD65">
        <v>9453447.6022999994</v>
      </c>
      <c r="AE65">
        <v>9502083.2854999993</v>
      </c>
      <c r="AF65">
        <v>9550738.6101228129</v>
      </c>
      <c r="AG65">
        <v>9599471.1801254172</v>
      </c>
      <c r="AH65">
        <v>9648198.7601280231</v>
      </c>
      <c r="AK65" s="3" t="str">
        <f ca="1">INDIRECT(ADDRESS(65,2))</f>
        <v>Space Cooling</v>
      </c>
      <c r="AL65" s="3">
        <f ca="1">INDIRECT(ADDRESS(65,3))</f>
        <v>11701098.921</v>
      </c>
      <c r="AM65" s="4">
        <f ca="1">IFERROR(INDIRECT(ADDRESS(65,3)) / INDIRECT(ADDRESS(69,3)),0)</f>
        <v>5.3406629565791305E-3</v>
      </c>
      <c r="AN65" s="3">
        <f ca="1">INDIRECT(ADDRESS(65,9))</f>
        <v>12256595.8849</v>
      </c>
      <c r="AO65" s="4">
        <f ca="1">IFERROR(INDIRECT(ADDRESS(65,9)) / INDIRECT(ADDRESS(69,9)),0)</f>
        <v>5.9810450138338307E-3</v>
      </c>
      <c r="AP65" s="4">
        <f ca="1">IFERROR((INDIRECT(ADDRESS(65,9)) - INDIRECT(ADDRESS(65,3)))/ INDIRECT(ADDRESS(65,3)),1)</f>
        <v>4.7473914001619766E-2</v>
      </c>
      <c r="AQ65" s="3">
        <f ca="1">INDIRECT(ADDRESS(65,14))</f>
        <v>11582924.399</v>
      </c>
      <c r="AR65" s="4">
        <f ca="1">IFERROR(INDIRECT(ADDRESS(65,14)) / INDIRECT(ADDRESS(69,14)),0)</f>
        <v>6.4525285128293796E-3</v>
      </c>
      <c r="AS65" s="4">
        <f ca="1">IFERROR((INDIRECT(ADDRESS(65,14)) - INDIRECT(ADDRESS(65,3)))/ INDIRECT(ADDRESS(65,3)),1)</f>
        <v>-1.009943790731584E-2</v>
      </c>
      <c r="AT65" s="3">
        <f ca="1">INDIRECT(ADDRESS(65,19))</f>
        <v>10608334.276000001</v>
      </c>
      <c r="AU65" s="4">
        <f ca="1">IFERROR(INDIRECT(ADDRESS(65,19)) / INDIRECT(ADDRESS(69,19)),0)</f>
        <v>6.4238806820029418E-3</v>
      </c>
      <c r="AV65" s="4">
        <f ca="1">IFERROR((INDIRECT(ADDRESS(65,19)) - INDIRECT(ADDRESS(65,3)))/ INDIRECT(ADDRESS(65,3)),1)</f>
        <v>-9.3389915970953058E-2</v>
      </c>
      <c r="AW65" s="3">
        <f ca="1">INDIRECT(ADDRESS(65,24))</f>
        <v>9316056.3049999997</v>
      </c>
      <c r="AX65" s="4">
        <f ca="1">IFERROR(INDIRECT(ADDRESS(65,24)) / INDIRECT(ADDRESS(69,24)),0)</f>
        <v>6.1701348672941105E-3</v>
      </c>
      <c r="AY65" s="4">
        <f ca="1">IFERROR((INDIRECT(ADDRESS(65,24)) - INDIRECT(ADDRESS(65,3)))/ INDIRECT(ADDRESS(65,3)),1)</f>
        <v>-0.20383065147150894</v>
      </c>
      <c r="AZ65" s="3">
        <f ca="1">INDIRECT(ADDRESS(65,29))</f>
        <v>9404956.4065000005</v>
      </c>
      <c r="BA65" s="4">
        <f ca="1">IFERROR(INDIRECT(ADDRESS(65,29)) / INDIRECT(ADDRESS(69,29)),0)</f>
        <v>6.5057380238776842E-3</v>
      </c>
      <c r="BB65" s="4">
        <f ca="1">IFERROR((INDIRECT(ADDRESS(65,29)) - INDIRECT(ADDRESS(65,3)))/ INDIRECT(ADDRESS(65,3)),1)</f>
        <v>-0.19623306580026473</v>
      </c>
      <c r="BC65" s="3">
        <f ca="1">INDIRECT(ADDRESS(65,34))</f>
        <v>9648198.7601280231</v>
      </c>
      <c r="BD65" s="4">
        <f ca="1">IFERROR(INDIRECT(ADDRESS(65,34)) / INDIRECT(ADDRESS(69,34)),0)</f>
        <v>6.7849154661636067E-3</v>
      </c>
      <c r="BE65" s="4">
        <f ca="1">IFERROR((INDIRECT(ADDRESS(65,34)) - INDIRECT(ADDRESS(65,3)))/ INDIRECT(ADDRESS(65,3)),1)</f>
        <v>-0.17544507355523936</v>
      </c>
    </row>
    <row r="66" spans="1:57" x14ac:dyDescent="0.25">
      <c r="A66" s="5"/>
      <c r="B66" s="1" t="s">
        <v>88</v>
      </c>
      <c r="C66">
        <v>228596226.74200001</v>
      </c>
      <c r="D66">
        <v>228057436.59200001</v>
      </c>
      <c r="E66">
        <v>227070613.09099999</v>
      </c>
      <c r="F66">
        <v>226645157.134</v>
      </c>
      <c r="G66">
        <v>225151966.43928999</v>
      </c>
      <c r="H66">
        <v>218784712.06799999</v>
      </c>
      <c r="I66">
        <v>215022558.965</v>
      </c>
      <c r="J66">
        <v>208746932.75400001</v>
      </c>
      <c r="K66">
        <v>202256395.12</v>
      </c>
      <c r="L66">
        <v>195566668.171</v>
      </c>
      <c r="M66">
        <v>186733949.558</v>
      </c>
      <c r="N66">
        <v>180295511.067</v>
      </c>
      <c r="O66">
        <v>172030088.53569999</v>
      </c>
      <c r="P66">
        <v>163566882.8714</v>
      </c>
      <c r="Q66">
        <v>154810928.9603</v>
      </c>
      <c r="R66">
        <v>144833897.55598</v>
      </c>
      <c r="S66">
        <v>137303023.02522001</v>
      </c>
      <c r="T66">
        <v>128497704.22091</v>
      </c>
      <c r="U66">
        <v>119405075.89478999</v>
      </c>
      <c r="V66">
        <v>110106030.22517</v>
      </c>
      <c r="W66">
        <v>100363438.50560001</v>
      </c>
      <c r="X66">
        <v>92131989.821369991</v>
      </c>
      <c r="Y66">
        <v>89748901.621750012</v>
      </c>
      <c r="Z66">
        <v>88206296.236570001</v>
      </c>
      <c r="AA66">
        <v>86611747.13786</v>
      </c>
      <c r="AB66">
        <v>84674079.048069999</v>
      </c>
      <c r="AC66">
        <v>84122571.588160008</v>
      </c>
      <c r="AD66">
        <v>82969953.935639992</v>
      </c>
      <c r="AE66">
        <v>81847442.563419998</v>
      </c>
      <c r="AF66">
        <v>80754497.653436676</v>
      </c>
      <c r="AG66">
        <v>79184925.018649012</v>
      </c>
      <c r="AH66">
        <v>78884651.974671483</v>
      </c>
      <c r="AK66" s="3" t="str">
        <f ca="1">INDIRECT(ADDRESS(66,2))</f>
        <v>Space Heating</v>
      </c>
      <c r="AL66" s="3">
        <f ca="1">INDIRECT(ADDRESS(66,3))</f>
        <v>228596226.74200001</v>
      </c>
      <c r="AM66" s="4">
        <f ca="1">IFERROR(INDIRECT(ADDRESS(66,3)) / INDIRECT(ADDRESS(69,3)),0)</f>
        <v>0.10433681557752579</v>
      </c>
      <c r="AN66" s="3">
        <f ca="1">INDIRECT(ADDRESS(66,9))</f>
        <v>215022558.965</v>
      </c>
      <c r="AO66" s="4">
        <f ca="1">IFERROR(INDIRECT(ADDRESS(66,9)) / INDIRECT(ADDRESS(69,9)),0)</f>
        <v>0.10492796011524018</v>
      </c>
      <c r="AP66" s="4">
        <f ca="1">IFERROR((INDIRECT(ADDRESS(66,9)) - INDIRECT(ADDRESS(66,3)))/ INDIRECT(ADDRESS(66,3)),1)</f>
        <v>-5.9378354448166921E-2</v>
      </c>
      <c r="AQ66" s="3">
        <f ca="1">INDIRECT(ADDRESS(66,14))</f>
        <v>180295511.067</v>
      </c>
      <c r="AR66" s="4">
        <f ca="1">IFERROR(INDIRECT(ADDRESS(66,14)) / INDIRECT(ADDRESS(69,14)),0)</f>
        <v>0.10043766891851597</v>
      </c>
      <c r="AS66" s="4">
        <f ca="1">IFERROR((INDIRECT(ADDRESS(66,14)) - INDIRECT(ADDRESS(66,3)))/ INDIRECT(ADDRESS(66,3)),1)</f>
        <v>-0.21129270751049417</v>
      </c>
      <c r="AT66" s="3">
        <f ca="1">INDIRECT(ADDRESS(66,19))</f>
        <v>137303023.02522001</v>
      </c>
      <c r="AU66" s="4">
        <f ca="1">IFERROR(INDIRECT(ADDRESS(66,19)) / INDIRECT(ADDRESS(69,19)),0)</f>
        <v>8.314389556782438E-2</v>
      </c>
      <c r="AV66" s="4">
        <f ca="1">IFERROR((INDIRECT(ADDRESS(66,19)) - INDIRECT(ADDRESS(66,3)))/ INDIRECT(ADDRESS(66,3)),1)</f>
        <v>-0.39936443841575753</v>
      </c>
      <c r="AW66" s="3">
        <f ca="1">INDIRECT(ADDRESS(66,24))</f>
        <v>92131989.821369991</v>
      </c>
      <c r="AX66" s="4">
        <f ca="1">IFERROR(INDIRECT(ADDRESS(66,24)) / INDIRECT(ADDRESS(69,24)),0)</f>
        <v>6.1020112392936109E-2</v>
      </c>
      <c r="AY66" s="4">
        <f ca="1">IFERROR((INDIRECT(ADDRESS(66,24)) - INDIRECT(ADDRESS(66,3)))/ INDIRECT(ADDRESS(66,3)),1)</f>
        <v>-0.59696627046537964</v>
      </c>
      <c r="AZ66" s="3">
        <f ca="1">INDIRECT(ADDRESS(66,29))</f>
        <v>84122571.588160008</v>
      </c>
      <c r="BA66" s="4">
        <f ca="1">IFERROR(INDIRECT(ADDRESS(66,29)) / INDIRECT(ADDRESS(69,29)),0)</f>
        <v>5.8190531565805732E-2</v>
      </c>
      <c r="BB66" s="4">
        <f ca="1">IFERROR((INDIRECT(ADDRESS(66,29)) - INDIRECT(ADDRESS(66,3)))/ INDIRECT(ADDRESS(66,3)),1)</f>
        <v>-0.63200367395782497</v>
      </c>
      <c r="BC66" s="3">
        <f ca="1">INDIRECT(ADDRESS(66,34))</f>
        <v>78884651.974671483</v>
      </c>
      <c r="BD66" s="4">
        <f ca="1">IFERROR(INDIRECT(ADDRESS(66,34)) / INDIRECT(ADDRESS(69,34)),0)</f>
        <v>5.5474157252827998E-2</v>
      </c>
      <c r="BE66" s="4">
        <f ca="1">IFERROR((INDIRECT(ADDRESS(66,34)) - INDIRECT(ADDRESS(66,3)))/ INDIRECT(ADDRESS(66,3)),1)</f>
        <v>-0.65491708634498647</v>
      </c>
    </row>
    <row r="67" spans="1:57" x14ac:dyDescent="0.25">
      <c r="A67" s="5"/>
      <c r="B67" s="1" t="s">
        <v>28</v>
      </c>
      <c r="C67">
        <v>590226101.63999999</v>
      </c>
      <c r="D67">
        <v>581576074.03999996</v>
      </c>
      <c r="E67">
        <v>568852497.02999997</v>
      </c>
      <c r="F67">
        <v>552869843.84000003</v>
      </c>
      <c r="G67">
        <v>537901288.13999999</v>
      </c>
      <c r="H67">
        <v>517183600.44</v>
      </c>
      <c r="I67">
        <v>485260075.83999997</v>
      </c>
      <c r="J67">
        <v>461167333.83999997</v>
      </c>
      <c r="K67">
        <v>435711945.83999997</v>
      </c>
      <c r="L67">
        <v>409809891.83999997</v>
      </c>
      <c r="M67">
        <v>384973084.83999997</v>
      </c>
      <c r="N67">
        <v>363516151.83999997</v>
      </c>
      <c r="O67">
        <v>344915845.83999997</v>
      </c>
      <c r="P67">
        <v>328662512.83999997</v>
      </c>
      <c r="Q67">
        <v>313644193.83999997</v>
      </c>
      <c r="R67">
        <v>296863579.83999997</v>
      </c>
      <c r="S67">
        <v>282627639.83999997</v>
      </c>
      <c r="T67">
        <v>272337219.83999997</v>
      </c>
      <c r="U67">
        <v>261941869.84</v>
      </c>
      <c r="V67">
        <v>251902175.84</v>
      </c>
      <c r="W67">
        <v>242574276.84</v>
      </c>
      <c r="X67">
        <v>234070224.84</v>
      </c>
      <c r="Y67">
        <v>228185213.84</v>
      </c>
      <c r="Z67">
        <v>222735087.84</v>
      </c>
      <c r="AA67">
        <v>217860536.84</v>
      </c>
      <c r="AB67">
        <v>213617179.84</v>
      </c>
      <c r="AC67">
        <v>209981367.84</v>
      </c>
      <c r="AD67">
        <v>206937443.84</v>
      </c>
      <c r="AE67">
        <v>204424189.84</v>
      </c>
      <c r="AF67">
        <v>202372777.84</v>
      </c>
      <c r="AG67">
        <v>200688262.03999999</v>
      </c>
      <c r="AH67">
        <v>199239710.03999999</v>
      </c>
      <c r="AK67" s="3" t="str">
        <f ca="1">INDIRECT(ADDRESS(67,2))</f>
        <v>Transportation</v>
      </c>
      <c r="AL67" s="3">
        <f ca="1">INDIRECT(ADDRESS(67,3))</f>
        <v>590226101.63999999</v>
      </c>
      <c r="AM67" s="4">
        <f ca="1">IFERROR(INDIRECT(ADDRESS(67,3)) / INDIRECT(ADDRESS(69,3)),0)</f>
        <v>0.26939338760546633</v>
      </c>
      <c r="AN67" s="3">
        <f ca="1">INDIRECT(ADDRESS(67,9))</f>
        <v>485260075.83999997</v>
      </c>
      <c r="AO67" s="4">
        <f ca="1">IFERROR(INDIRECT(ADDRESS(67,9)) / INDIRECT(ADDRESS(69,9)),0)</f>
        <v>0.23680003683495343</v>
      </c>
      <c r="AP67" s="4">
        <f ca="1">IFERROR((INDIRECT(ADDRESS(67,9)) - INDIRECT(ADDRESS(67,3)))/ INDIRECT(ADDRESS(67,3)),1)</f>
        <v>-0.17784036576549531</v>
      </c>
      <c r="AQ67" s="3">
        <f ca="1">INDIRECT(ADDRESS(67,14))</f>
        <v>363516151.83999997</v>
      </c>
      <c r="AR67" s="4">
        <f ca="1">IFERROR(INDIRECT(ADDRESS(67,14)) / INDIRECT(ADDRESS(69,14)),0)</f>
        <v>0.20250484711996555</v>
      </c>
      <c r="AS67" s="4">
        <f ca="1">IFERROR((INDIRECT(ADDRESS(67,14)) - INDIRECT(ADDRESS(67,3)))/ INDIRECT(ADDRESS(67,3)),1)</f>
        <v>-0.38410695353876184</v>
      </c>
      <c r="AT67" s="3">
        <f ca="1">INDIRECT(ADDRESS(67,19))</f>
        <v>282627639.83999997</v>
      </c>
      <c r="AU67" s="4">
        <f ca="1">IFERROR(INDIRECT(ADDRESS(67,19)) / INDIRECT(ADDRESS(69,19)),0)</f>
        <v>0.17114527017457842</v>
      </c>
      <c r="AV67" s="4">
        <f ca="1">IFERROR((INDIRECT(ADDRESS(67,19)) - INDIRECT(ADDRESS(67,3)))/ INDIRECT(ADDRESS(67,3)),1)</f>
        <v>-0.52115360697418855</v>
      </c>
      <c r="AW67" s="3">
        <f ca="1">INDIRECT(ADDRESS(67,24))</f>
        <v>234070224.84</v>
      </c>
      <c r="AX67" s="4">
        <f ca="1">IFERROR(INDIRECT(ADDRESS(67,24)) / INDIRECT(ADDRESS(69,24)),0)</f>
        <v>0.15502749322216081</v>
      </c>
      <c r="AY67" s="4">
        <f ca="1">IFERROR((INDIRECT(ADDRESS(67,24)) - INDIRECT(ADDRESS(67,3)))/ INDIRECT(ADDRESS(67,3)),1)</f>
        <v>-0.6034227829138471</v>
      </c>
      <c r="AZ67" s="3">
        <f ca="1">INDIRECT(ADDRESS(67,29))</f>
        <v>209981367.84</v>
      </c>
      <c r="BA67" s="4">
        <f ca="1">IFERROR(INDIRECT(ADDRESS(67,29)) / INDIRECT(ADDRESS(69,29)),0)</f>
        <v>0.14525147273605651</v>
      </c>
      <c r="BB67" s="4">
        <f ca="1">IFERROR((INDIRECT(ADDRESS(67,29)) - INDIRECT(ADDRESS(67,3)))/ INDIRECT(ADDRESS(67,3)),1)</f>
        <v>-0.64423571364169319</v>
      </c>
      <c r="BC67" s="3">
        <f ca="1">INDIRECT(ADDRESS(67,34))</f>
        <v>199239710.03999999</v>
      </c>
      <c r="BD67" s="4">
        <f ca="1">IFERROR(INDIRECT(ADDRESS(67,34)) / INDIRECT(ADDRESS(69,34)),0)</f>
        <v>0.14011160256263325</v>
      </c>
      <c r="BE67" s="4">
        <f ca="1">IFERROR((INDIRECT(ADDRESS(67,34)) - INDIRECT(ADDRESS(67,3)))/ INDIRECT(ADDRESS(67,3)),1)</f>
        <v>-0.66243493893883498</v>
      </c>
    </row>
    <row r="68" spans="1:57" x14ac:dyDescent="0.25">
      <c r="A68" s="5"/>
      <c r="B68" s="1" t="s">
        <v>89</v>
      </c>
      <c r="C68">
        <v>71613249.542799994</v>
      </c>
      <c r="D68">
        <v>71778356.482800007</v>
      </c>
      <c r="E68">
        <v>71917406.232800007</v>
      </c>
      <c r="F68">
        <v>72129719.022799999</v>
      </c>
      <c r="G68">
        <v>72039866.675500005</v>
      </c>
      <c r="H68">
        <v>71692607.746800005</v>
      </c>
      <c r="I68">
        <v>71085134.138799995</v>
      </c>
      <c r="J68">
        <v>70168627.653799996</v>
      </c>
      <c r="K68">
        <v>69040589.528799996</v>
      </c>
      <c r="L68">
        <v>67681539.358799994</v>
      </c>
      <c r="M68">
        <v>65726496.1448</v>
      </c>
      <c r="N68">
        <v>63475829.049800001</v>
      </c>
      <c r="O68">
        <v>61055551.251800001</v>
      </c>
      <c r="P68">
        <v>58667424.400799997</v>
      </c>
      <c r="Q68">
        <v>56393163.172799997</v>
      </c>
      <c r="R68">
        <v>54279781.232799999</v>
      </c>
      <c r="S68">
        <v>52379192.069799997</v>
      </c>
      <c r="T68">
        <v>50636971.037799999</v>
      </c>
      <c r="U68">
        <v>49030517.951800004</v>
      </c>
      <c r="V68">
        <v>47528414.131800003</v>
      </c>
      <c r="W68">
        <v>46115499.5638</v>
      </c>
      <c r="X68">
        <v>44774503.882799998</v>
      </c>
      <c r="Y68">
        <v>44203117.573799998</v>
      </c>
      <c r="Z68">
        <v>43799055.760799997</v>
      </c>
      <c r="AA68">
        <v>43563884.721799999</v>
      </c>
      <c r="AB68">
        <v>43465101.612800002</v>
      </c>
      <c r="AC68">
        <v>43437765.624799997</v>
      </c>
      <c r="AD68">
        <v>43438531.103799999</v>
      </c>
      <c r="AE68">
        <v>43462865.404799998</v>
      </c>
      <c r="AF68">
        <v>43494227.947748996</v>
      </c>
      <c r="AG68">
        <v>43525647.878085747</v>
      </c>
      <c r="AH68">
        <v>43554874.492983557</v>
      </c>
      <c r="AK68" s="3" t="str">
        <f ca="1">INDIRECT(ADDRESS(68,2))</f>
        <v>Water Heating</v>
      </c>
      <c r="AL68" s="3">
        <f ca="1">INDIRECT(ADDRESS(68,3))</f>
        <v>71613249.542799994</v>
      </c>
      <c r="AM68" s="4">
        <f ca="1">IFERROR(INDIRECT(ADDRESS(68,3)) / INDIRECT(ADDRESS(69,3)),0)</f>
        <v>3.2686009375331671E-2</v>
      </c>
      <c r="AN68" s="3">
        <f ca="1">INDIRECT(ADDRESS(68,9))</f>
        <v>71085134.138799995</v>
      </c>
      <c r="AO68" s="4">
        <f ca="1">IFERROR(INDIRECT(ADDRESS(68,9)) / INDIRECT(ADDRESS(69,9)),0)</f>
        <v>3.4688537591614298E-2</v>
      </c>
      <c r="AP68" s="4">
        <f ca="1">IFERROR((INDIRECT(ADDRESS(68,9)) - INDIRECT(ADDRESS(68,3)))/ INDIRECT(ADDRESS(68,3)),1)</f>
        <v>-7.3745488072618258E-3</v>
      </c>
      <c r="AQ68" s="3">
        <f ca="1">INDIRECT(ADDRESS(68,14))</f>
        <v>63475829.049800001</v>
      </c>
      <c r="AR68" s="4">
        <f ca="1">IFERROR(INDIRECT(ADDRESS(68,14)) / INDIRECT(ADDRESS(69,14)),0)</f>
        <v>3.5360638014237451E-2</v>
      </c>
      <c r="AS68" s="4">
        <f ca="1">IFERROR((INDIRECT(ADDRESS(68,14)) - INDIRECT(ADDRESS(68,3)))/ INDIRECT(ADDRESS(68,3)),1)</f>
        <v>-0.11363009701349505</v>
      </c>
      <c r="AT68" s="3">
        <f ca="1">INDIRECT(ADDRESS(68,19))</f>
        <v>52379192.069799997</v>
      </c>
      <c r="AU68" s="4">
        <f ca="1">IFERROR(INDIRECT(ADDRESS(68,19)) / INDIRECT(ADDRESS(69,19)),0)</f>
        <v>3.1718238822597021E-2</v>
      </c>
      <c r="AV68" s="4">
        <f ca="1">IFERROR((INDIRECT(ADDRESS(68,19)) - INDIRECT(ADDRESS(68,3)))/ INDIRECT(ADDRESS(68,3)),1)</f>
        <v>-0.26858238658063788</v>
      </c>
      <c r="AW68" s="3">
        <f ca="1">INDIRECT(ADDRESS(68,24))</f>
        <v>44774503.882799998</v>
      </c>
      <c r="AX68" s="4">
        <f ca="1">IFERROR(INDIRECT(ADDRESS(68,24)) / INDIRECT(ADDRESS(69,24)),0)</f>
        <v>2.9654686331681612E-2</v>
      </c>
      <c r="AY68" s="4">
        <f ca="1">IFERROR((INDIRECT(ADDRESS(68,24)) - INDIRECT(ADDRESS(68,3)))/ INDIRECT(ADDRESS(68,3)),1)</f>
        <v>-0.37477346484549195</v>
      </c>
      <c r="AZ68" s="3">
        <f ca="1">INDIRECT(ADDRESS(68,29))</f>
        <v>43437765.624799997</v>
      </c>
      <c r="BA68" s="4">
        <f ca="1">IFERROR(INDIRECT(ADDRESS(68,29)) / INDIRECT(ADDRESS(69,29)),0)</f>
        <v>3.0047425132373826E-2</v>
      </c>
      <c r="BB68" s="4">
        <f ca="1">IFERROR((INDIRECT(ADDRESS(68,29)) - INDIRECT(ADDRESS(68,3)))/ INDIRECT(ADDRESS(68,3)),1)</f>
        <v>-0.39343953944110283</v>
      </c>
      <c r="BC68" s="3">
        <f ca="1">INDIRECT(ADDRESS(68,34))</f>
        <v>43554874.492983557</v>
      </c>
      <c r="BD68" s="4">
        <f ca="1">IFERROR(INDIRECT(ADDRESS(68,34)) / INDIRECT(ADDRESS(69,34)),0)</f>
        <v>3.0629151504994252E-2</v>
      </c>
      <c r="BE68" s="4">
        <f ca="1">IFERROR((INDIRECT(ADDRESS(68,34)) - INDIRECT(ADDRESS(68,3)))/ INDIRECT(ADDRESS(68,3)),1)</f>
        <v>-0.39180424333415032</v>
      </c>
    </row>
    <row r="69" spans="1:57" x14ac:dyDescent="0.25">
      <c r="A69" s="1" t="s">
        <v>21</v>
      </c>
      <c r="B69" s="1"/>
      <c r="C69">
        <v>2190945022.3937998</v>
      </c>
      <c r="D69">
        <v>2181013091.4938002</v>
      </c>
      <c r="E69">
        <v>2168649074.6283998</v>
      </c>
      <c r="F69">
        <v>2159616601.4717999</v>
      </c>
      <c r="G69">
        <v>2149259973.68575</v>
      </c>
      <c r="H69">
        <v>2129351313.5854001</v>
      </c>
      <c r="I69">
        <v>2049239866.3697</v>
      </c>
      <c r="J69">
        <v>2017342224.2779</v>
      </c>
      <c r="K69">
        <v>1983278938.6368001</v>
      </c>
      <c r="L69">
        <v>1947974959.7467999</v>
      </c>
      <c r="M69">
        <v>1910528538.2958</v>
      </c>
      <c r="N69">
        <v>1795098522.3808</v>
      </c>
      <c r="O69">
        <v>1765010340.2874999</v>
      </c>
      <c r="P69">
        <v>1736590467.7692001</v>
      </c>
      <c r="Q69">
        <v>1708692602.7760999</v>
      </c>
      <c r="R69">
        <v>1677397580.70978</v>
      </c>
      <c r="S69">
        <v>1651390304.5740199</v>
      </c>
      <c r="T69">
        <v>1623283629.40571</v>
      </c>
      <c r="U69">
        <v>1594626269.2135899</v>
      </c>
      <c r="V69">
        <v>1565793868.5339701</v>
      </c>
      <c r="W69">
        <v>1536855111.3914001</v>
      </c>
      <c r="X69">
        <v>1509862670.0011699</v>
      </c>
      <c r="Y69">
        <v>1498233663.5445499</v>
      </c>
      <c r="Z69">
        <v>1488540708.2843699</v>
      </c>
      <c r="AA69">
        <v>1479867890.2606599</v>
      </c>
      <c r="AB69">
        <v>1471947696.4049699</v>
      </c>
      <c r="AC69">
        <v>1445640198.2344601</v>
      </c>
      <c r="AD69">
        <v>1439799924.4507401</v>
      </c>
      <c r="AE69">
        <v>1434590585.3357201</v>
      </c>
      <c r="AF69">
        <v>1429918983.755455</v>
      </c>
      <c r="AG69">
        <v>1425149179.985594</v>
      </c>
      <c r="AH69">
        <v>1422007217.074939</v>
      </c>
    </row>
    <row r="70" spans="1:57" x14ac:dyDescent="0.25">
      <c r="A70" s="5" t="s">
        <v>6</v>
      </c>
      <c r="B70" s="1" t="s">
        <v>24</v>
      </c>
      <c r="C70">
        <v>653072660.62</v>
      </c>
      <c r="D70">
        <v>651789723.70000005</v>
      </c>
      <c r="E70">
        <v>651789722.59000003</v>
      </c>
      <c r="F70">
        <v>651789722.59000003</v>
      </c>
      <c r="G70">
        <v>650774817.5359</v>
      </c>
      <c r="H70">
        <v>649759546.07299995</v>
      </c>
      <c r="I70">
        <v>604629806.11199999</v>
      </c>
      <c r="J70">
        <v>603614371.12899995</v>
      </c>
      <c r="K70">
        <v>602599210.63899994</v>
      </c>
      <c r="L70">
        <v>601584237.04900002</v>
      </c>
      <c r="M70">
        <v>600569161.74199998</v>
      </c>
      <c r="N70">
        <v>517081173.72899997</v>
      </c>
      <c r="O70">
        <v>516065848.04000002</v>
      </c>
      <c r="P70">
        <v>515050345.30699998</v>
      </c>
      <c r="Q70">
        <v>514034460.616</v>
      </c>
      <c r="R70">
        <v>513018258.14200002</v>
      </c>
      <c r="S70">
        <v>512001494.91799998</v>
      </c>
      <c r="T70">
        <v>512001373.80800003</v>
      </c>
      <c r="U70">
        <v>512001493.96799999</v>
      </c>
      <c r="V70">
        <v>512001372.778</v>
      </c>
      <c r="W70">
        <v>512001504.69800001</v>
      </c>
      <c r="X70">
        <v>512001384.60699999</v>
      </c>
      <c r="Y70">
        <v>512001505.19415277</v>
      </c>
      <c r="Z70">
        <v>512001373.08415282</v>
      </c>
      <c r="AA70">
        <v>512001495.19415277</v>
      </c>
      <c r="AB70">
        <v>512001495.19415277</v>
      </c>
      <c r="AC70">
        <v>491383149.51213682</v>
      </c>
      <c r="AD70">
        <v>491383159.51213682</v>
      </c>
      <c r="AE70">
        <v>491383279.51213682</v>
      </c>
      <c r="AF70">
        <v>491383169.51213682</v>
      </c>
      <c r="AG70">
        <v>491383149.51213682</v>
      </c>
      <c r="AH70">
        <v>491383279.51213682</v>
      </c>
      <c r="AK70" s="3" t="str">
        <f ca="1">INDIRECT(ADDRESS(70,2))</f>
        <v>Energy Production</v>
      </c>
      <c r="AL70" s="3">
        <f ca="1">INDIRECT(ADDRESS(70,3))</f>
        <v>653072660.62</v>
      </c>
      <c r="AM70" s="4">
        <f ca="1">IFERROR(INDIRECT(ADDRESS(70,3)) / INDIRECT(ADDRESS(79,3)),0)</f>
        <v>0.29807806857082192</v>
      </c>
      <c r="AN70" s="3">
        <f ca="1">INDIRECT(ADDRESS(70,9))</f>
        <v>604629806.11199999</v>
      </c>
      <c r="AO70" s="4">
        <f ca="1">IFERROR(INDIRECT(ADDRESS(70,9)) / INDIRECT(ADDRESS(79,9)),0)</f>
        <v>0.29539111850448763</v>
      </c>
      <c r="AP70" s="4">
        <f ca="1">IFERROR((INDIRECT(ADDRESS(70,9)) - INDIRECT(ADDRESS(70,3)))/ INDIRECT(ADDRESS(70,3)),1)</f>
        <v>-7.4176822012439456E-2</v>
      </c>
      <c r="AQ70" s="3">
        <f ca="1">INDIRECT(ADDRESS(70,14))</f>
        <v>517081173.72899997</v>
      </c>
      <c r="AR70" s="4">
        <f ca="1">IFERROR(INDIRECT(ADDRESS(70,14)) / INDIRECT(ADDRESS(79,14)),0)</f>
        <v>0.28882217963268964</v>
      </c>
      <c r="AS70" s="4">
        <f ca="1">IFERROR((INDIRECT(ADDRESS(70,14)) - INDIRECT(ADDRESS(70,3)))/ INDIRECT(ADDRESS(70,3)),1)</f>
        <v>-0.20823331780861165</v>
      </c>
      <c r="AT70" s="3">
        <f ca="1">INDIRECT(ADDRESS(70,19))</f>
        <v>512001494.91799998</v>
      </c>
      <c r="AU70" s="4">
        <f ca="1">IFERROR(INDIRECT(ADDRESS(70,19)) / INDIRECT(ADDRESS(79,19)),0)</f>
        <v>0.31174914236016754</v>
      </c>
      <c r="AV70" s="4">
        <f ca="1">IFERROR((INDIRECT(ADDRESS(70,19)) - INDIRECT(ADDRESS(70,3)))/ INDIRECT(ADDRESS(70,3)),1)</f>
        <v>-0.21601143978079396</v>
      </c>
      <c r="AW70" s="3">
        <f ca="1">INDIRECT(ADDRESS(70,24))</f>
        <v>512001384.60699999</v>
      </c>
      <c r="AX70" s="4">
        <f ca="1">IFERROR(INDIRECT(ADDRESS(70,24)) / INDIRECT(ADDRESS(79,24)),0)</f>
        <v>0.3413973765674172</v>
      </c>
      <c r="AY70" s="4">
        <f ca="1">IFERROR((INDIRECT(ADDRESS(70,24)) - INDIRECT(ADDRESS(70,3)))/ INDIRECT(ADDRESS(70,3)),1)</f>
        <v>-0.21601160869155481</v>
      </c>
      <c r="AZ70" s="3">
        <f ca="1">INDIRECT(ADDRESS(70,29))</f>
        <v>491383149.51213682</v>
      </c>
      <c r="BA70" s="4">
        <f ca="1">IFERROR(INDIRECT(ADDRESS(70,29)) / INDIRECT(ADDRESS(79,29)),0)</f>
        <v>0.34184829084419727</v>
      </c>
      <c r="BB70" s="4">
        <f ca="1">IFERROR((INDIRECT(ADDRESS(70,29)) - INDIRECT(ADDRESS(70,3)))/ INDIRECT(ADDRESS(70,3)),1)</f>
        <v>-0.24758272832055456</v>
      </c>
      <c r="BC70" s="3">
        <f ca="1">INDIRECT(ADDRESS(70,34))</f>
        <v>491383279.51213682</v>
      </c>
      <c r="BD70" s="4">
        <f ca="1">IFERROR(INDIRECT(ADDRESS(70,34)) / INDIRECT(ADDRESS(79,34)),0)</f>
        <v>0.34742971790919708</v>
      </c>
      <c r="BE70" s="4">
        <f ca="1">IFERROR((INDIRECT(ADDRESS(70,34)) - INDIRECT(ADDRESS(70,3)))/ INDIRECT(ADDRESS(70,3)),1)</f>
        <v>-0.2475825292615404</v>
      </c>
    </row>
    <row r="71" spans="1:57" x14ac:dyDescent="0.25">
      <c r="A71" s="5"/>
      <c r="B71" s="1" t="s">
        <v>83</v>
      </c>
      <c r="C71">
        <v>452108148.43599999</v>
      </c>
      <c r="D71">
        <v>452108144.05599999</v>
      </c>
      <c r="E71">
        <v>452108135.16060001</v>
      </c>
      <c r="F71">
        <v>457876078.00599998</v>
      </c>
      <c r="G71">
        <v>463057220.273</v>
      </c>
      <c r="H71">
        <v>470286093.495</v>
      </c>
      <c r="I71">
        <v>471167752.023</v>
      </c>
      <c r="J71">
        <v>472102282.236</v>
      </c>
      <c r="K71">
        <v>472863612.68599999</v>
      </c>
      <c r="L71">
        <v>473468656.19300002</v>
      </c>
      <c r="M71">
        <v>473706400.58700001</v>
      </c>
      <c r="N71">
        <v>473811015.50800002</v>
      </c>
      <c r="O71">
        <v>476273577.47399998</v>
      </c>
      <c r="P71">
        <v>478473905.98100001</v>
      </c>
      <c r="Q71">
        <v>480457368.99900001</v>
      </c>
      <c r="R71">
        <v>482219247.31099999</v>
      </c>
      <c r="S71">
        <v>484059445.91399997</v>
      </c>
      <c r="T71">
        <v>481558725.412</v>
      </c>
      <c r="U71">
        <v>479242029.93900001</v>
      </c>
      <c r="V71">
        <v>477099320.38200003</v>
      </c>
      <c r="W71">
        <v>475086472.22799999</v>
      </c>
      <c r="X71">
        <v>473283534.116</v>
      </c>
      <c r="Y71">
        <v>471495364.68027133</v>
      </c>
      <c r="Z71">
        <v>469798052.87023419</v>
      </c>
      <c r="AA71">
        <v>468179603.48045021</v>
      </c>
      <c r="AB71">
        <v>466617269.4248749</v>
      </c>
      <c r="AC71">
        <v>465159083.62346649</v>
      </c>
      <c r="AD71">
        <v>463548713.47479832</v>
      </c>
      <c r="AE71">
        <v>461984155.52627212</v>
      </c>
      <c r="AF71">
        <v>460461131.6108495</v>
      </c>
      <c r="AG71">
        <v>458954917.85749328</v>
      </c>
      <c r="AH71">
        <v>457528997.90296859</v>
      </c>
      <c r="AK71" s="3" t="str">
        <f ca="1">INDIRECT(ADDRESS(71,2))</f>
        <v>Industrial Processes</v>
      </c>
      <c r="AL71" s="3">
        <f ca="1">INDIRECT(ADDRESS(71,3))</f>
        <v>452108148.43599999</v>
      </c>
      <c r="AM71" s="4">
        <f ca="1">IFERROR(INDIRECT(ADDRESS(71,3)) / INDIRECT(ADDRESS(79,3)),0)</f>
        <v>0.20635303205464833</v>
      </c>
      <c r="AN71" s="3">
        <f ca="1">INDIRECT(ADDRESS(71,9))</f>
        <v>471167752.023</v>
      </c>
      <c r="AO71" s="4">
        <f ca="1">IFERROR(INDIRECT(ADDRESS(71,9)) / INDIRECT(ADDRESS(79,9)),0)</f>
        <v>0.23018840266623894</v>
      </c>
      <c r="AP71" s="4">
        <f ca="1">IFERROR((INDIRECT(ADDRESS(71,9)) - INDIRECT(ADDRESS(71,3)))/ INDIRECT(ADDRESS(71,3)),1)</f>
        <v>4.2157177774684751E-2</v>
      </c>
      <c r="AQ71" s="3">
        <f ca="1">INDIRECT(ADDRESS(71,14))</f>
        <v>473811015.50800002</v>
      </c>
      <c r="AR71" s="4">
        <f ca="1">IFERROR(INDIRECT(ADDRESS(71,14)) / INDIRECT(ADDRESS(79,14)),0)</f>
        <v>0.26465308966115964</v>
      </c>
      <c r="AS71" s="4">
        <f ca="1">IFERROR((INDIRECT(ADDRESS(71,14)) - INDIRECT(ADDRESS(71,3)))/ INDIRECT(ADDRESS(71,3)),1)</f>
        <v>4.8003706960553186E-2</v>
      </c>
      <c r="AT71" s="3">
        <f ca="1">INDIRECT(ADDRESS(71,19))</f>
        <v>484059445.91399997</v>
      </c>
      <c r="AU71" s="4">
        <f ca="1">IFERROR(INDIRECT(ADDRESS(71,19)) / INDIRECT(ADDRESS(79,19)),0)</f>
        <v>0.29473569630728463</v>
      </c>
      <c r="AV71" s="4">
        <f ca="1">IFERROR((INDIRECT(ADDRESS(71,19)) - INDIRECT(ADDRESS(71,3)))/ INDIRECT(ADDRESS(71,3)),1)</f>
        <v>7.0671801843277288E-2</v>
      </c>
      <c r="AW71" s="3">
        <f ca="1">INDIRECT(ADDRESS(71,24))</f>
        <v>473283534.116</v>
      </c>
      <c r="AX71" s="4">
        <f ca="1">IFERROR(INDIRECT(ADDRESS(71,24)) / INDIRECT(ADDRESS(79,24)),0)</f>
        <v>0.31558070305567887</v>
      </c>
      <c r="AY71" s="4">
        <f ca="1">IFERROR((INDIRECT(ADDRESS(71,24)) - INDIRECT(ADDRESS(71,3)))/ INDIRECT(ADDRESS(71,3)),1)</f>
        <v>4.6836991886240194E-2</v>
      </c>
      <c r="AZ71" s="3">
        <f ca="1">INDIRECT(ADDRESS(71,29))</f>
        <v>465159083.62346649</v>
      </c>
      <c r="BA71" s="4">
        <f ca="1">IFERROR(INDIRECT(ADDRESS(71,29)) / INDIRECT(ADDRESS(79,29)),0)</f>
        <v>0.32360457998042835</v>
      </c>
      <c r="BB71" s="4">
        <f ca="1">IFERROR((INDIRECT(ADDRESS(71,29)) - INDIRECT(ADDRESS(71,3)))/ INDIRECT(ADDRESS(71,3)),1)</f>
        <v>2.8866843547532259E-2</v>
      </c>
      <c r="BC71" s="3">
        <f ca="1">INDIRECT(ADDRESS(71,34))</f>
        <v>457528997.90296859</v>
      </c>
      <c r="BD71" s="4">
        <f ca="1">IFERROR(INDIRECT(ADDRESS(71,34)) / INDIRECT(ADDRESS(79,34)),0)</f>
        <v>0.32349324306379829</v>
      </c>
      <c r="BE71" s="4">
        <f ca="1">IFERROR((INDIRECT(ADDRESS(71,34)) - INDIRECT(ADDRESS(71,3)))/ INDIRECT(ADDRESS(71,3)),1)</f>
        <v>1.1990160950916739E-2</v>
      </c>
    </row>
    <row r="72" spans="1:57" x14ac:dyDescent="0.25">
      <c r="A72" s="5"/>
      <c r="B72" s="1" t="s">
        <v>84</v>
      </c>
      <c r="C72">
        <v>47932011.942000002</v>
      </c>
      <c r="D72">
        <v>47837688.825999998</v>
      </c>
      <c r="E72">
        <v>48069418.412</v>
      </c>
      <c r="F72">
        <v>48304901.685999997</v>
      </c>
      <c r="G72">
        <v>48467421.560000002</v>
      </c>
      <c r="H72">
        <v>48465261.549999997</v>
      </c>
      <c r="I72">
        <v>48232277.920000002</v>
      </c>
      <c r="J72">
        <v>47746159.700000003</v>
      </c>
      <c r="K72">
        <v>47212344</v>
      </c>
      <c r="L72">
        <v>46633116.399999999</v>
      </c>
      <c r="M72">
        <v>46000742</v>
      </c>
      <c r="N72">
        <v>45160581.100000001</v>
      </c>
      <c r="O72">
        <v>44237299.299999997</v>
      </c>
      <c r="P72">
        <v>43251100.5</v>
      </c>
      <c r="Q72">
        <v>42185263.100000001</v>
      </c>
      <c r="R72">
        <v>41032513.5</v>
      </c>
      <c r="S72">
        <v>39819916.700000003</v>
      </c>
      <c r="T72">
        <v>38489605.100000001</v>
      </c>
      <c r="U72">
        <v>37028367.799999997</v>
      </c>
      <c r="V72">
        <v>35393054.200000003</v>
      </c>
      <c r="W72">
        <v>33575130.899999999</v>
      </c>
      <c r="X72">
        <v>31541012.100000001</v>
      </c>
      <c r="Y72">
        <v>31134076.399999999</v>
      </c>
      <c r="Z72">
        <v>30794843.699999999</v>
      </c>
      <c r="AA72">
        <v>30539886.399999999</v>
      </c>
      <c r="AB72">
        <v>30374848</v>
      </c>
      <c r="AC72">
        <v>30213468.300000001</v>
      </c>
      <c r="AD72">
        <v>30058269.399999999</v>
      </c>
      <c r="AE72">
        <v>29903975.699999999</v>
      </c>
      <c r="AF72">
        <v>29750051.399999999</v>
      </c>
      <c r="AG72">
        <v>29597928.100000001</v>
      </c>
      <c r="AH72">
        <v>29447140.800000001</v>
      </c>
      <c r="AK72" s="3" t="str">
        <f ca="1">INDIRECT(ADDRESS(72,2))</f>
        <v>Lighting</v>
      </c>
      <c r="AL72" s="3">
        <f ca="1">INDIRECT(ADDRESS(72,3))</f>
        <v>47932011.942000002</v>
      </c>
      <c r="AM72" s="4">
        <f ca="1">IFERROR(INDIRECT(ADDRESS(72,3)) / INDIRECT(ADDRESS(79,3)),0)</f>
        <v>2.1877323005407991E-2</v>
      </c>
      <c r="AN72" s="3">
        <f ca="1">INDIRECT(ADDRESS(72,9))</f>
        <v>48232277.920000002</v>
      </c>
      <c r="AO72" s="4">
        <f ca="1">IFERROR(INDIRECT(ADDRESS(72,9)) / INDIRECT(ADDRESS(79,9)),0)</f>
        <v>2.3563817692720486E-2</v>
      </c>
      <c r="AP72" s="4">
        <f ca="1">IFERROR((INDIRECT(ADDRESS(72,9)) - INDIRECT(ADDRESS(72,3)))/ INDIRECT(ADDRESS(72,3)),1)</f>
        <v>6.2644142366345091E-3</v>
      </c>
      <c r="AQ72" s="3">
        <f ca="1">INDIRECT(ADDRESS(72,14))</f>
        <v>45160581.100000001</v>
      </c>
      <c r="AR72" s="4">
        <f ca="1">IFERROR(INDIRECT(ADDRESS(72,14)) / INDIRECT(ADDRESS(79,14)),0)</f>
        <v>2.522500939788001E-2</v>
      </c>
      <c r="AS72" s="4">
        <f ca="1">IFERROR((INDIRECT(ADDRESS(72,14)) - INDIRECT(ADDRESS(72,3)))/ INDIRECT(ADDRESS(72,3)),1)</f>
        <v>-5.7820039879685467E-2</v>
      </c>
      <c r="AT72" s="3">
        <f ca="1">INDIRECT(ADDRESS(72,19))</f>
        <v>39819916.700000003</v>
      </c>
      <c r="AU72" s="4">
        <f ca="1">IFERROR(INDIRECT(ADDRESS(72,19)) / INDIRECT(ADDRESS(79,19)),0)</f>
        <v>2.424568092729194E-2</v>
      </c>
      <c r="AV72" s="4">
        <f ca="1">IFERROR((INDIRECT(ADDRESS(72,19)) - INDIRECT(ADDRESS(72,3)))/ INDIRECT(ADDRESS(72,3)),1)</f>
        <v>-0.16924170117907875</v>
      </c>
      <c r="AW72" s="3">
        <f ca="1">INDIRECT(ADDRESS(72,24))</f>
        <v>31541012.100000001</v>
      </c>
      <c r="AX72" s="4">
        <f ca="1">IFERROR(INDIRECT(ADDRESS(72,24)) / INDIRECT(ADDRESS(79,24)),0)</f>
        <v>2.1031229814908483E-2</v>
      </c>
      <c r="AY72" s="4">
        <f ca="1">IFERROR((INDIRECT(ADDRESS(72,24)) - INDIRECT(ADDRESS(72,3)))/ INDIRECT(ADDRESS(72,3)),1)</f>
        <v>-0.34196352662671209</v>
      </c>
      <c r="AZ72" s="3">
        <f ca="1">INDIRECT(ADDRESS(72,29))</f>
        <v>30213468.300000001</v>
      </c>
      <c r="BA72" s="4">
        <f ca="1">IFERROR(INDIRECT(ADDRESS(72,29)) / INDIRECT(ADDRESS(79,29)),0)</f>
        <v>2.1019081564121137E-2</v>
      </c>
      <c r="BB72" s="4">
        <f ca="1">IFERROR((INDIRECT(ADDRESS(72,29)) - INDIRECT(ADDRESS(72,3)))/ INDIRECT(ADDRESS(72,3)),1)</f>
        <v>-0.36965991879164756</v>
      </c>
      <c r="BC72" s="3">
        <f ca="1">INDIRECT(ADDRESS(72,34))</f>
        <v>29447140.800000001</v>
      </c>
      <c r="BD72" s="4">
        <f ca="1">IFERROR(INDIRECT(ADDRESS(72,34)) / INDIRECT(ADDRESS(79,34)),0)</f>
        <v>2.0820431316942511E-2</v>
      </c>
      <c r="BE72" s="4">
        <f ca="1">IFERROR((INDIRECT(ADDRESS(72,34)) - INDIRECT(ADDRESS(72,3)))/ INDIRECT(ADDRESS(72,3)),1)</f>
        <v>-0.38564772044969797</v>
      </c>
    </row>
    <row r="73" spans="1:57" x14ac:dyDescent="0.25">
      <c r="A73" s="5"/>
      <c r="B73" s="1" t="s">
        <v>85</v>
      </c>
      <c r="C73">
        <v>25078806.98</v>
      </c>
      <c r="D73">
        <v>25207328.789999999</v>
      </c>
      <c r="E73">
        <v>25276348.300000001</v>
      </c>
      <c r="F73">
        <v>25415838.390000001</v>
      </c>
      <c r="G73">
        <v>25484768.02</v>
      </c>
      <c r="H73">
        <v>25530172.850000001</v>
      </c>
      <c r="I73">
        <v>25442985.34</v>
      </c>
      <c r="J73">
        <v>25313448.620000001</v>
      </c>
      <c r="K73">
        <v>25154828.199999999</v>
      </c>
      <c r="L73">
        <v>24964002.699999999</v>
      </c>
      <c r="M73">
        <v>24738145.5</v>
      </c>
      <c r="N73">
        <v>24362352.199999999</v>
      </c>
      <c r="O73">
        <v>23944604.300000001</v>
      </c>
      <c r="P73">
        <v>23487264.800000001</v>
      </c>
      <c r="Q73">
        <v>22984872.600000001</v>
      </c>
      <c r="R73">
        <v>22437805.899999999</v>
      </c>
      <c r="S73">
        <v>21960845</v>
      </c>
      <c r="T73">
        <v>21441241.5</v>
      </c>
      <c r="U73">
        <v>20898024.100000001</v>
      </c>
      <c r="V73">
        <v>20333409.199999999</v>
      </c>
      <c r="W73">
        <v>19773964.399999999</v>
      </c>
      <c r="X73">
        <v>19215621.037999999</v>
      </c>
      <c r="Y73">
        <v>19142815.737450749</v>
      </c>
      <c r="Z73">
        <v>19163887.737492379</v>
      </c>
      <c r="AA73">
        <v>19183958.437532071</v>
      </c>
      <c r="AB73">
        <v>19202644.437569119</v>
      </c>
      <c r="AC73">
        <v>19218020.737599671</v>
      </c>
      <c r="AD73">
        <v>19222067.637608711</v>
      </c>
      <c r="AE73">
        <v>19226460.43761839</v>
      </c>
      <c r="AF73">
        <v>19230345.03762706</v>
      </c>
      <c r="AG73">
        <v>19238543.737644009</v>
      </c>
      <c r="AH73">
        <v>19247747.237662859</v>
      </c>
      <c r="AK73" s="3" t="str">
        <f ca="1">INDIRECT(ADDRESS(73,2))</f>
        <v>Major Appliances</v>
      </c>
      <c r="AL73" s="3">
        <f ca="1">INDIRECT(ADDRESS(73,3))</f>
        <v>25078806.98</v>
      </c>
      <c r="AM73" s="4">
        <f ca="1">IFERROR(INDIRECT(ADDRESS(73,3)) / INDIRECT(ADDRESS(79,3)),0)</f>
        <v>1.1446570645848156E-2</v>
      </c>
      <c r="AN73" s="3">
        <f ca="1">INDIRECT(ADDRESS(73,9))</f>
        <v>25442985.34</v>
      </c>
      <c r="AO73" s="4">
        <f ca="1">IFERROR(INDIRECT(ADDRESS(73,9)) / INDIRECT(ADDRESS(79,9)),0)</f>
        <v>1.2430137948382429E-2</v>
      </c>
      <c r="AP73" s="4">
        <f ca="1">IFERROR((INDIRECT(ADDRESS(73,9)) - INDIRECT(ADDRESS(73,3)))/ INDIRECT(ADDRESS(73,3)),1)</f>
        <v>1.4521359021999195E-2</v>
      </c>
      <c r="AQ73" s="3">
        <f ca="1">INDIRECT(ADDRESS(73,14))</f>
        <v>24362352.199999999</v>
      </c>
      <c r="AR73" s="4">
        <f ca="1">IFERROR(INDIRECT(ADDRESS(73,14)) / INDIRECT(ADDRESS(79,14)),0)</f>
        <v>1.3607897600756574E-2</v>
      </c>
      <c r="AS73" s="4">
        <f ca="1">IFERROR((INDIRECT(ADDRESS(73,14)) - INDIRECT(ADDRESS(73,3)))/ INDIRECT(ADDRESS(73,3)),1)</f>
        <v>-2.8568136457661798E-2</v>
      </c>
      <c r="AT73" s="3">
        <f ca="1">INDIRECT(ADDRESS(73,19))</f>
        <v>21960845</v>
      </c>
      <c r="AU73" s="4">
        <f ca="1">IFERROR(INDIRECT(ADDRESS(73,19)) / INDIRECT(ADDRESS(79,19)),0)</f>
        <v>1.337159102504387E-2</v>
      </c>
      <c r="AV73" s="4">
        <f ca="1">IFERROR((INDIRECT(ADDRESS(73,19)) - INDIRECT(ADDRESS(73,3)))/ INDIRECT(ADDRESS(73,3)),1)</f>
        <v>-0.1243265671483708</v>
      </c>
      <c r="AW73" s="3">
        <f ca="1">INDIRECT(ADDRESS(73,24))</f>
        <v>19215621.037999999</v>
      </c>
      <c r="AX73" s="4">
        <f ca="1">IFERROR(INDIRECT(ADDRESS(73,24)) / INDIRECT(ADDRESS(79,24)),0)</f>
        <v>1.2812782950816224E-2</v>
      </c>
      <c r="AY73" s="4">
        <f ca="1">IFERROR((INDIRECT(ADDRESS(73,24)) - INDIRECT(ADDRESS(73,3)))/ INDIRECT(ADDRESS(73,3)),1)</f>
        <v>-0.23379046486046209</v>
      </c>
      <c r="AZ73" s="3">
        <f ca="1">INDIRECT(ADDRESS(73,29))</f>
        <v>19218020.737599671</v>
      </c>
      <c r="BA73" s="4">
        <f ca="1">IFERROR(INDIRECT(ADDRESS(73,29)) / INDIRECT(ADDRESS(79,29)),0)</f>
        <v>1.3369704575908583E-2</v>
      </c>
      <c r="BB73" s="4">
        <f ca="1">IFERROR((INDIRECT(ADDRESS(73,29)) - INDIRECT(ADDRESS(73,3)))/ INDIRECT(ADDRESS(73,3)),1)</f>
        <v>-0.23369477850657827</v>
      </c>
      <c r="BC73" s="3">
        <f ca="1">INDIRECT(ADDRESS(73,34))</f>
        <v>19247747.237662859</v>
      </c>
      <c r="BD73" s="4">
        <f ca="1">IFERROR(INDIRECT(ADDRESS(73,34)) / INDIRECT(ADDRESS(79,34)),0)</f>
        <v>1.3609008836865734E-2</v>
      </c>
      <c r="BE73" s="4">
        <f ca="1">IFERROR((INDIRECT(ADDRESS(73,34)) - INDIRECT(ADDRESS(73,3)))/ INDIRECT(ADDRESS(73,3)),1)</f>
        <v>-0.23250945497476536</v>
      </c>
    </row>
    <row r="74" spans="1:57" x14ac:dyDescent="0.25">
      <c r="A74" s="5"/>
      <c r="B74" s="1" t="s">
        <v>86</v>
      </c>
      <c r="C74">
        <v>110616717.56999999</v>
      </c>
      <c r="D74">
        <v>110804355.98999999</v>
      </c>
      <c r="E74">
        <v>111546898.59</v>
      </c>
      <c r="F74">
        <v>112395791.62</v>
      </c>
      <c r="G74">
        <v>113015537.087</v>
      </c>
      <c r="H74">
        <v>113295509.88</v>
      </c>
      <c r="I74">
        <v>113095684.48999999</v>
      </c>
      <c r="J74">
        <v>112287120.44</v>
      </c>
      <c r="K74">
        <v>111358042.48999999</v>
      </c>
      <c r="L74">
        <v>110309254.45</v>
      </c>
      <c r="M74">
        <v>109122607.44</v>
      </c>
      <c r="N74">
        <v>107459810.73999999</v>
      </c>
      <c r="O74">
        <v>105569491.09999999</v>
      </c>
      <c r="P74">
        <v>103518350.09999999</v>
      </c>
      <c r="Q74">
        <v>101268697.59999999</v>
      </c>
      <c r="R74">
        <v>98807262.399999991</v>
      </c>
      <c r="S74">
        <v>96282394.200000003</v>
      </c>
      <c r="T74">
        <v>93470190.599999994</v>
      </c>
      <c r="U74">
        <v>90385998</v>
      </c>
      <c r="V74">
        <v>86957983.900000006</v>
      </c>
      <c r="W74">
        <v>83194026.480000004</v>
      </c>
      <c r="X74">
        <v>79012833.138999999</v>
      </c>
      <c r="Y74">
        <v>78514778.117368057</v>
      </c>
      <c r="Z74">
        <v>78254425.117159694</v>
      </c>
      <c r="AA74">
        <v>78152620.017012298</v>
      </c>
      <c r="AB74">
        <v>78219200.516929641</v>
      </c>
      <c r="AC74">
        <v>78288121.916850418</v>
      </c>
      <c r="AD74">
        <v>78361884.316776931</v>
      </c>
      <c r="AE74">
        <v>78436057.816703573</v>
      </c>
      <c r="AF74">
        <v>78509090.516630232</v>
      </c>
      <c r="AG74">
        <v>78590614.016556874</v>
      </c>
      <c r="AH74">
        <v>78676755.51648438</v>
      </c>
      <c r="AK74" s="3" t="str">
        <f ca="1">INDIRECT(ADDRESS(74,2))</f>
        <v>Plug Load</v>
      </c>
      <c r="AL74" s="3">
        <f ca="1">INDIRECT(ADDRESS(74,3))</f>
        <v>110616717.56999999</v>
      </c>
      <c r="AM74" s="4">
        <f ca="1">IFERROR(INDIRECT(ADDRESS(74,3)) / INDIRECT(ADDRESS(79,3)),0)</f>
        <v>5.0488130208370778E-2</v>
      </c>
      <c r="AN74" s="3">
        <f ca="1">INDIRECT(ADDRESS(74,9))</f>
        <v>113095684.48999999</v>
      </c>
      <c r="AO74" s="4">
        <f ca="1">IFERROR(INDIRECT(ADDRESS(74,9)) / INDIRECT(ADDRESS(79,9)),0)</f>
        <v>5.5252752017560018E-2</v>
      </c>
      <c r="AP74" s="4">
        <f ca="1">IFERROR((INDIRECT(ADDRESS(74,9)) - INDIRECT(ADDRESS(74,3)))/ INDIRECT(ADDRESS(74,3)),1)</f>
        <v>2.2410418374883279E-2</v>
      </c>
      <c r="AQ74" s="3">
        <f ca="1">INDIRECT(ADDRESS(74,14))</f>
        <v>107459810.73999999</v>
      </c>
      <c r="AR74" s="4">
        <f ca="1">IFERROR(INDIRECT(ADDRESS(74,14)) / INDIRECT(ADDRESS(79,14)),0)</f>
        <v>6.002302605027611E-2</v>
      </c>
      <c r="AS74" s="4">
        <f ca="1">IFERROR((INDIRECT(ADDRESS(74,14)) - INDIRECT(ADDRESS(74,3)))/ INDIRECT(ADDRESS(74,3)),1)</f>
        <v>-2.8539147602190042E-2</v>
      </c>
      <c r="AT74" s="3">
        <f ca="1">INDIRECT(ADDRESS(74,19))</f>
        <v>96282394.200000003</v>
      </c>
      <c r="AU74" s="4">
        <f ca="1">IFERROR(INDIRECT(ADDRESS(74,19)) / INDIRECT(ADDRESS(79,19)),0)</f>
        <v>5.8624738627063577E-2</v>
      </c>
      <c r="AV74" s="4">
        <f ca="1">IFERROR((INDIRECT(ADDRESS(74,19)) - INDIRECT(ADDRESS(74,3)))/ INDIRECT(ADDRESS(74,3)),1)</f>
        <v>-0.12958550646676897</v>
      </c>
      <c r="AW74" s="3">
        <f ca="1">INDIRECT(ADDRESS(74,24))</f>
        <v>79012833.138999999</v>
      </c>
      <c r="AX74" s="4">
        <f ca="1">IFERROR(INDIRECT(ADDRESS(74,24)) / INDIRECT(ADDRESS(79,24)),0)</f>
        <v>5.2684962892275915E-2</v>
      </c>
      <c r="AY74" s="4">
        <f ca="1">IFERROR((INDIRECT(ADDRESS(74,24)) - INDIRECT(ADDRESS(74,3)))/ INDIRECT(ADDRESS(74,3)),1)</f>
        <v>-0.28570622167486176</v>
      </c>
      <c r="AZ74" s="3">
        <f ca="1">INDIRECT(ADDRESS(74,29))</f>
        <v>78288121.916850418</v>
      </c>
      <c r="BA74" s="4">
        <f ca="1">IFERROR(INDIRECT(ADDRESS(74,29)) / INDIRECT(ADDRESS(79,29)),0)</f>
        <v>5.4463936537604937E-2</v>
      </c>
      <c r="BB74" s="4">
        <f ca="1">IFERROR((INDIRECT(ADDRESS(74,29)) - INDIRECT(ADDRESS(74,3)))/ INDIRECT(ADDRESS(74,3)),1)</f>
        <v>-0.29225777408095238</v>
      </c>
      <c r="BC74" s="3">
        <f ca="1">INDIRECT(ADDRESS(74,34))</f>
        <v>78676755.51648438</v>
      </c>
      <c r="BD74" s="4">
        <f ca="1">IFERROR(INDIRECT(ADDRESS(74,34)) / INDIRECT(ADDRESS(79,34)),0)</f>
        <v>5.5627946889527581E-2</v>
      </c>
      <c r="BE74" s="4">
        <f ca="1">IFERROR((INDIRECT(ADDRESS(74,34)) - INDIRECT(ADDRESS(74,3)))/ INDIRECT(ADDRESS(74,3)),1)</f>
        <v>-0.2887444389524893</v>
      </c>
    </row>
    <row r="75" spans="1:57" x14ac:dyDescent="0.25">
      <c r="A75" s="5"/>
      <c r="B75" s="1" t="s">
        <v>87</v>
      </c>
      <c r="C75">
        <v>11701098.921</v>
      </c>
      <c r="D75">
        <v>11853983.017000001</v>
      </c>
      <c r="E75">
        <v>12018035.221999999</v>
      </c>
      <c r="F75">
        <v>12189549.183</v>
      </c>
      <c r="G75">
        <v>12352177.036459999</v>
      </c>
      <c r="H75">
        <v>12322301.8521</v>
      </c>
      <c r="I75">
        <v>12253535.7864</v>
      </c>
      <c r="J75">
        <v>12125409.440099999</v>
      </c>
      <c r="K75">
        <v>11988135.231000001</v>
      </c>
      <c r="L75">
        <v>11836776.84</v>
      </c>
      <c r="M75">
        <v>11720534.547</v>
      </c>
      <c r="N75">
        <v>11550525.596000001</v>
      </c>
      <c r="O75">
        <v>11358560.926999999</v>
      </c>
      <c r="P75">
        <v>11156875.255999999</v>
      </c>
      <c r="Q75">
        <v>10944124.370999999</v>
      </c>
      <c r="R75">
        <v>10719026.593</v>
      </c>
      <c r="S75">
        <v>10540581.342</v>
      </c>
      <c r="T75">
        <v>10338521.301999999</v>
      </c>
      <c r="U75">
        <v>10111399.596000001</v>
      </c>
      <c r="V75">
        <v>9853541.8690000009</v>
      </c>
      <c r="W75">
        <v>9562171.0020000003</v>
      </c>
      <c r="X75">
        <v>9230376.7148000002</v>
      </c>
      <c r="Y75">
        <v>9223459.7340881173</v>
      </c>
      <c r="Z75">
        <v>9223260.0040948372</v>
      </c>
      <c r="AA75">
        <v>9235123.6841015574</v>
      </c>
      <c r="AB75">
        <v>9269692.9541082773</v>
      </c>
      <c r="AC75">
        <v>9314446.1341149956</v>
      </c>
      <c r="AD75">
        <v>9361809.4241176005</v>
      </c>
      <c r="AE75">
        <v>9409366.4141202066</v>
      </c>
      <c r="AF75">
        <v>9457008.5141228121</v>
      </c>
      <c r="AG75">
        <v>9504805.304125417</v>
      </c>
      <c r="AH75">
        <v>9552671.1941280235</v>
      </c>
      <c r="AK75" s="3" t="str">
        <f ca="1">INDIRECT(ADDRESS(75,2))</f>
        <v>Space Cooling</v>
      </c>
      <c r="AL75" s="3">
        <f ca="1">INDIRECT(ADDRESS(75,3))</f>
        <v>11701098.921</v>
      </c>
      <c r="AM75" s="4">
        <f ca="1">IFERROR(INDIRECT(ADDRESS(75,3)) / INDIRECT(ADDRESS(79,3)),0)</f>
        <v>5.3406629565791305E-3</v>
      </c>
      <c r="AN75" s="3">
        <f ca="1">INDIRECT(ADDRESS(75,9))</f>
        <v>12253535.7864</v>
      </c>
      <c r="AO75" s="4">
        <f ca="1">IFERROR(INDIRECT(ADDRESS(75,9)) / INDIRECT(ADDRESS(79,9)),0)</f>
        <v>5.9864492371865963E-3</v>
      </c>
      <c r="AP75" s="4">
        <f ca="1">IFERROR((INDIRECT(ADDRESS(75,9)) - INDIRECT(ADDRESS(75,3)))/ INDIRECT(ADDRESS(75,3)),1)</f>
        <v>4.7212391684727947E-2</v>
      </c>
      <c r="AQ75" s="3">
        <f ca="1">INDIRECT(ADDRESS(75,14))</f>
        <v>11550525.596000001</v>
      </c>
      <c r="AR75" s="4">
        <f ca="1">IFERROR(INDIRECT(ADDRESS(75,14)) / INDIRECT(ADDRESS(79,14)),0)</f>
        <v>6.4516910458788049E-3</v>
      </c>
      <c r="AS75" s="4">
        <f ca="1">IFERROR((INDIRECT(ADDRESS(75,14)) - INDIRECT(ADDRESS(75,3)))/ INDIRECT(ADDRESS(75,3)),1)</f>
        <v>-1.2868306303245144E-2</v>
      </c>
      <c r="AT75" s="3">
        <f ca="1">INDIRECT(ADDRESS(75,19))</f>
        <v>10540581.342</v>
      </c>
      <c r="AU75" s="4">
        <f ca="1">IFERROR(INDIRECT(ADDRESS(75,19)) / INDIRECT(ADDRESS(79,19)),0)</f>
        <v>6.4179835917712669E-3</v>
      </c>
      <c r="AV75" s="4">
        <f ca="1">IFERROR((INDIRECT(ADDRESS(75,19)) - INDIRECT(ADDRESS(75,3)))/ INDIRECT(ADDRESS(75,3)),1)</f>
        <v>-9.9180221177108008E-2</v>
      </c>
      <c r="AW75" s="3">
        <f ca="1">INDIRECT(ADDRESS(75,24))</f>
        <v>9230376.7148000002</v>
      </c>
      <c r="AX75" s="4">
        <f ca="1">IFERROR(INDIRECT(ADDRESS(75,24)) / INDIRECT(ADDRESS(79,24)),0)</f>
        <v>6.1547224087694623E-3</v>
      </c>
      <c r="AY75" s="4">
        <f ca="1">IFERROR((INDIRECT(ADDRESS(75,24)) - INDIRECT(ADDRESS(75,3)))/ INDIRECT(ADDRESS(75,3)),1)</f>
        <v>-0.21115300561777037</v>
      </c>
      <c r="AZ75" s="3">
        <f ca="1">INDIRECT(ADDRESS(75,29))</f>
        <v>9314446.1341149956</v>
      </c>
      <c r="BA75" s="4">
        <f ca="1">IFERROR(INDIRECT(ADDRESS(75,29)) / INDIRECT(ADDRESS(79,29)),0)</f>
        <v>6.4799281258807314E-3</v>
      </c>
      <c r="BB75" s="4">
        <f ca="1">IFERROR((INDIRECT(ADDRESS(75,29)) - INDIRECT(ADDRESS(75,3)))/ INDIRECT(ADDRESS(75,3)),1)</f>
        <v>-0.20396825998980925</v>
      </c>
      <c r="BC75" s="3">
        <f ca="1">INDIRECT(ADDRESS(75,34))</f>
        <v>9552671.1941280235</v>
      </c>
      <c r="BD75" s="4">
        <f ca="1">IFERROR(INDIRECT(ADDRESS(75,34)) / INDIRECT(ADDRESS(79,34)),0)</f>
        <v>6.7541611541001526E-3</v>
      </c>
      <c r="BE75" s="4">
        <f ca="1">IFERROR((INDIRECT(ADDRESS(75,34)) - INDIRECT(ADDRESS(75,3)))/ INDIRECT(ADDRESS(75,3)),1)</f>
        <v>-0.18360905598500551</v>
      </c>
    </row>
    <row r="76" spans="1:57" x14ac:dyDescent="0.25">
      <c r="A76" s="5"/>
      <c r="B76" s="1" t="s">
        <v>88</v>
      </c>
      <c r="C76">
        <v>228596226.74200001</v>
      </c>
      <c r="D76">
        <v>228057436.59200001</v>
      </c>
      <c r="E76">
        <v>227070613.09099999</v>
      </c>
      <c r="F76">
        <v>226645157.134</v>
      </c>
      <c r="G76">
        <v>225151975.14829001</v>
      </c>
      <c r="H76">
        <v>219063713.68599999</v>
      </c>
      <c r="I76">
        <v>215780625.324</v>
      </c>
      <c r="J76">
        <v>210117779.38699999</v>
      </c>
      <c r="K76">
        <v>204366064.794</v>
      </c>
      <c r="L76">
        <v>198584915.81099999</v>
      </c>
      <c r="M76">
        <v>190351564.33399999</v>
      </c>
      <c r="N76">
        <v>184665196.083</v>
      </c>
      <c r="O76">
        <v>177182253.77649999</v>
      </c>
      <c r="P76">
        <v>169459974.1532</v>
      </c>
      <c r="Q76">
        <v>161316149.5422</v>
      </c>
      <c r="R76">
        <v>151768581.28264999</v>
      </c>
      <c r="S76">
        <v>144722597.53663</v>
      </c>
      <c r="T76">
        <v>136194495.01861</v>
      </c>
      <c r="U76">
        <v>127195190.59593</v>
      </c>
      <c r="V76">
        <v>117840339.32837</v>
      </c>
      <c r="W76">
        <v>107979997.49805</v>
      </c>
      <c r="X76">
        <v>99537007.525470003</v>
      </c>
      <c r="Y76">
        <v>97603586.777855933</v>
      </c>
      <c r="Z76">
        <v>96614305.997117296</v>
      </c>
      <c r="AA76">
        <v>95541316.415343389</v>
      </c>
      <c r="AB76">
        <v>94019450.23401022</v>
      </c>
      <c r="AC76">
        <v>93721933.290837035</v>
      </c>
      <c r="AD76">
        <v>92783389.661127239</v>
      </c>
      <c r="AE76">
        <v>91828035.304592639</v>
      </c>
      <c r="AF76">
        <v>90855634.481988028</v>
      </c>
      <c r="AG76">
        <v>89393532.215193734</v>
      </c>
      <c r="AH76">
        <v>89132599.231377646</v>
      </c>
      <c r="AK76" s="3" t="str">
        <f ca="1">INDIRECT(ADDRESS(76,2))</f>
        <v>Space Heating</v>
      </c>
      <c r="AL76" s="3">
        <f ca="1">INDIRECT(ADDRESS(76,3))</f>
        <v>228596226.74200001</v>
      </c>
      <c r="AM76" s="4">
        <f ca="1">IFERROR(INDIRECT(ADDRESS(76,3)) / INDIRECT(ADDRESS(79,3)),0)</f>
        <v>0.10433681557752579</v>
      </c>
      <c r="AN76" s="3">
        <f ca="1">INDIRECT(ADDRESS(76,9))</f>
        <v>215780625.324</v>
      </c>
      <c r="AO76" s="4">
        <f ca="1">IFERROR(INDIRECT(ADDRESS(76,9)) / INDIRECT(ADDRESS(79,9)),0)</f>
        <v>0.10541934853646159</v>
      </c>
      <c r="AP76" s="4">
        <f ca="1">IFERROR((INDIRECT(ADDRESS(76,9)) - INDIRECT(ADDRESS(76,3)))/ INDIRECT(ADDRESS(76,3)),1)</f>
        <v>-5.6062173906588811E-2</v>
      </c>
      <c r="AQ76" s="3">
        <f ca="1">INDIRECT(ADDRESS(76,14))</f>
        <v>184665196.083</v>
      </c>
      <c r="AR76" s="4">
        <f ca="1">IFERROR(INDIRECT(ADDRESS(76,14)) / INDIRECT(ADDRESS(79,14)),0)</f>
        <v>0.10314706306237122</v>
      </c>
      <c r="AS76" s="4">
        <f ca="1">IFERROR((INDIRECT(ADDRESS(76,14)) - INDIRECT(ADDRESS(76,3)))/ INDIRECT(ADDRESS(76,3)),1)</f>
        <v>-0.19217740942234265</v>
      </c>
      <c r="AT76" s="3">
        <f ca="1">INDIRECT(ADDRESS(76,19))</f>
        <v>144722597.53663</v>
      </c>
      <c r="AU76" s="4">
        <f ca="1">IFERROR(INDIRECT(ADDRESS(76,19)) / INDIRECT(ADDRESS(79,19)),0)</f>
        <v>8.8119167834472573E-2</v>
      </c>
      <c r="AV76" s="4">
        <f ca="1">IFERROR((INDIRECT(ADDRESS(76,19)) - INDIRECT(ADDRESS(76,3)))/ INDIRECT(ADDRESS(76,3)),1)</f>
        <v>-0.36690732126577091</v>
      </c>
      <c r="AW76" s="3">
        <f ca="1">INDIRECT(ADDRESS(76,24))</f>
        <v>99537007.525470003</v>
      </c>
      <c r="AX76" s="4">
        <f ca="1">IFERROR(INDIRECT(ADDRESS(76,24)) / INDIRECT(ADDRESS(79,24)),0)</f>
        <v>6.6370276062144323E-2</v>
      </c>
      <c r="AY76" s="4">
        <f ca="1">IFERROR((INDIRECT(ADDRESS(76,24)) - INDIRECT(ADDRESS(76,3)))/ INDIRECT(ADDRESS(76,3)),1)</f>
        <v>-0.56457283243869893</v>
      </c>
      <c r="AZ76" s="3">
        <f ca="1">INDIRECT(ADDRESS(76,29))</f>
        <v>93721933.290837035</v>
      </c>
      <c r="BA76" s="4">
        <f ca="1">IFERROR(INDIRECT(ADDRESS(76,29)) / INDIRECT(ADDRESS(79,29)),0)</f>
        <v>6.5201020307464122E-2</v>
      </c>
      <c r="BB76" s="4">
        <f ca="1">IFERROR((INDIRECT(ADDRESS(76,29)) - INDIRECT(ADDRESS(76,3)))/ INDIRECT(ADDRESS(76,3)),1)</f>
        <v>-0.59001102237521108</v>
      </c>
      <c r="BC76" s="3">
        <f ca="1">INDIRECT(ADDRESS(76,34))</f>
        <v>89132599.231377646</v>
      </c>
      <c r="BD76" s="4">
        <f ca="1">IFERROR(INDIRECT(ADDRESS(76,34)) / INDIRECT(ADDRESS(79,34)),0)</f>
        <v>6.3020690973076096E-2</v>
      </c>
      <c r="BE76" s="4">
        <f ca="1">IFERROR((INDIRECT(ADDRESS(76,34)) - INDIRECT(ADDRESS(76,3)))/ INDIRECT(ADDRESS(76,3)),1)</f>
        <v>-0.61008718078284319</v>
      </c>
    </row>
    <row r="77" spans="1:57" x14ac:dyDescent="0.25">
      <c r="A77" s="5"/>
      <c r="B77" s="1" t="s">
        <v>28</v>
      </c>
      <c r="C77">
        <v>590226101.63999999</v>
      </c>
      <c r="D77">
        <v>581576074.03999996</v>
      </c>
      <c r="E77">
        <v>568852497.02999997</v>
      </c>
      <c r="F77">
        <v>552869843.84000003</v>
      </c>
      <c r="G77">
        <v>537901288.13999999</v>
      </c>
      <c r="H77">
        <v>517183600.44</v>
      </c>
      <c r="I77">
        <v>485260075.83999997</v>
      </c>
      <c r="J77">
        <v>461167333.83999997</v>
      </c>
      <c r="K77">
        <v>435711945.83999997</v>
      </c>
      <c r="L77">
        <v>409809891.83999997</v>
      </c>
      <c r="M77">
        <v>384973084.83999997</v>
      </c>
      <c r="N77">
        <v>363516151.83999997</v>
      </c>
      <c r="O77">
        <v>344915845.83999997</v>
      </c>
      <c r="P77">
        <v>328662512.83999997</v>
      </c>
      <c r="Q77">
        <v>313644193.83999997</v>
      </c>
      <c r="R77">
        <v>296863569.83999997</v>
      </c>
      <c r="S77">
        <v>282627639.83999997</v>
      </c>
      <c r="T77">
        <v>272337219.83999997</v>
      </c>
      <c r="U77">
        <v>261941869.84</v>
      </c>
      <c r="V77">
        <v>251902175.84</v>
      </c>
      <c r="W77">
        <v>242574276.84</v>
      </c>
      <c r="X77">
        <v>234070234.84</v>
      </c>
      <c r="Y77">
        <v>228185213.84</v>
      </c>
      <c r="Z77">
        <v>222735087.84</v>
      </c>
      <c r="AA77">
        <v>217860536.84</v>
      </c>
      <c r="AB77">
        <v>213617169.84</v>
      </c>
      <c r="AC77">
        <v>209981367.84</v>
      </c>
      <c r="AD77">
        <v>206937443.84</v>
      </c>
      <c r="AE77">
        <v>204424189.84</v>
      </c>
      <c r="AF77">
        <v>202372777.84</v>
      </c>
      <c r="AG77">
        <v>200688262.03999999</v>
      </c>
      <c r="AH77">
        <v>199239710.03999999</v>
      </c>
      <c r="AK77" s="3" t="str">
        <f ca="1">INDIRECT(ADDRESS(77,2))</f>
        <v>Transportation</v>
      </c>
      <c r="AL77" s="3">
        <f ca="1">INDIRECT(ADDRESS(77,3))</f>
        <v>590226101.63999999</v>
      </c>
      <c r="AM77" s="4">
        <f ca="1">IFERROR(INDIRECT(ADDRESS(77,3)) / INDIRECT(ADDRESS(79,3)),0)</f>
        <v>0.26939338760546633</v>
      </c>
      <c r="AN77" s="3">
        <f ca="1">INDIRECT(ADDRESS(77,9))</f>
        <v>485260075.83999997</v>
      </c>
      <c r="AO77" s="4">
        <f ca="1">IFERROR(INDIRECT(ADDRESS(77,9)) / INDIRECT(ADDRESS(79,9)),0)</f>
        <v>0.23707318944411729</v>
      </c>
      <c r="AP77" s="4">
        <f ca="1">IFERROR((INDIRECT(ADDRESS(77,9)) - INDIRECT(ADDRESS(77,3)))/ INDIRECT(ADDRESS(77,3)),1)</f>
        <v>-0.17784036576549531</v>
      </c>
      <c r="AQ77" s="3">
        <f ca="1">INDIRECT(ADDRESS(77,14))</f>
        <v>363516151.83999997</v>
      </c>
      <c r="AR77" s="4">
        <f ca="1">IFERROR(INDIRECT(ADDRESS(77,14)) / INDIRECT(ADDRESS(79,14)),0)</f>
        <v>0.20304650921431955</v>
      </c>
      <c r="AS77" s="4">
        <f ca="1">IFERROR((INDIRECT(ADDRESS(77,14)) - INDIRECT(ADDRESS(77,3)))/ INDIRECT(ADDRESS(77,3)),1)</f>
        <v>-0.38410695353876184</v>
      </c>
      <c r="AT77" s="3">
        <f ca="1">INDIRECT(ADDRESS(77,19))</f>
        <v>282627639.83999997</v>
      </c>
      <c r="AU77" s="4">
        <f ca="1">IFERROR(INDIRECT(ADDRESS(77,19)) / INDIRECT(ADDRESS(79,19)),0)</f>
        <v>0.1720872403732131</v>
      </c>
      <c r="AV77" s="4">
        <f ca="1">IFERROR((INDIRECT(ADDRESS(77,19)) - INDIRECT(ADDRESS(77,3)))/ INDIRECT(ADDRESS(77,3)),1)</f>
        <v>-0.52115360697418855</v>
      </c>
      <c r="AW77" s="3">
        <f ca="1">INDIRECT(ADDRESS(77,24))</f>
        <v>234070234.84</v>
      </c>
      <c r="AX77" s="4">
        <f ca="1">IFERROR(INDIRECT(ADDRESS(77,24)) / INDIRECT(ADDRESS(79,24)),0)</f>
        <v>0.1560756796941731</v>
      </c>
      <c r="AY77" s="4">
        <f ca="1">IFERROR((INDIRECT(ADDRESS(77,24)) - INDIRECT(ADDRESS(77,3)))/ INDIRECT(ADDRESS(77,3)),1)</f>
        <v>-0.60342276597118738</v>
      </c>
      <c r="AZ77" s="3">
        <f ca="1">INDIRECT(ADDRESS(77,29))</f>
        <v>209981367.84</v>
      </c>
      <c r="BA77" s="4">
        <f ca="1">IFERROR(INDIRECT(ADDRESS(77,29)) / INDIRECT(ADDRESS(79,29)),0)</f>
        <v>0.14608106072928684</v>
      </c>
      <c r="BB77" s="4">
        <f ca="1">IFERROR((INDIRECT(ADDRESS(77,29)) - INDIRECT(ADDRESS(77,3)))/ INDIRECT(ADDRESS(77,3)),1)</f>
        <v>-0.64423571364169319</v>
      </c>
      <c r="BC77" s="3">
        <f ca="1">INDIRECT(ADDRESS(77,34))</f>
        <v>199239710.03999999</v>
      </c>
      <c r="BD77" s="4">
        <f ca="1">IFERROR(INDIRECT(ADDRESS(77,34)) / INDIRECT(ADDRESS(79,34)),0)</f>
        <v>0.1408712895649061</v>
      </c>
      <c r="BE77" s="4">
        <f ca="1">IFERROR((INDIRECT(ADDRESS(77,34)) - INDIRECT(ADDRESS(77,3)))/ INDIRECT(ADDRESS(77,3)),1)</f>
        <v>-0.66243493893883498</v>
      </c>
    </row>
    <row r="78" spans="1:57" x14ac:dyDescent="0.25">
      <c r="A78" s="5"/>
      <c r="B78" s="1" t="s">
        <v>89</v>
      </c>
      <c r="C78">
        <v>71613249.542799994</v>
      </c>
      <c r="D78">
        <v>71778356.482800007</v>
      </c>
      <c r="E78">
        <v>71917406.232800007</v>
      </c>
      <c r="F78">
        <v>72129719.022799999</v>
      </c>
      <c r="G78">
        <v>72039863.695500001</v>
      </c>
      <c r="H78">
        <v>71669539.065799996</v>
      </c>
      <c r="I78">
        <v>71016016.326800004</v>
      </c>
      <c r="J78">
        <v>70030302.451800004</v>
      </c>
      <c r="K78">
        <v>68806090.842800006</v>
      </c>
      <c r="L78">
        <v>67318159.402799994</v>
      </c>
      <c r="M78">
        <v>65183703.562799998</v>
      </c>
      <c r="N78">
        <v>62702976.152800001</v>
      </c>
      <c r="O78">
        <v>60026461.892800003</v>
      </c>
      <c r="P78">
        <v>57373443.452799998</v>
      </c>
      <c r="Q78">
        <v>54836851.892800003</v>
      </c>
      <c r="R78">
        <v>52468209.452799998</v>
      </c>
      <c r="S78">
        <v>50336017.8728</v>
      </c>
      <c r="T78">
        <v>48376930.432800002</v>
      </c>
      <c r="U78">
        <v>46569014.132799998</v>
      </c>
      <c r="V78">
        <v>44884963.822800003</v>
      </c>
      <c r="W78">
        <v>43309734.492799997</v>
      </c>
      <c r="X78">
        <v>41830664.426799998</v>
      </c>
      <c r="Y78">
        <v>41167032.983318493</v>
      </c>
      <c r="Z78">
        <v>40684056.88285026</v>
      </c>
      <c r="AA78">
        <v>40380928.74572017</v>
      </c>
      <c r="AB78">
        <v>40224923.201374553</v>
      </c>
      <c r="AC78">
        <v>40150879.040683351</v>
      </c>
      <c r="AD78">
        <v>40114354.890095532</v>
      </c>
      <c r="AE78">
        <v>40106022.406123303</v>
      </c>
      <c r="AF78">
        <v>40110299.240436323</v>
      </c>
      <c r="AG78">
        <v>40119245.642359167</v>
      </c>
      <c r="AH78">
        <v>40129752.348920062</v>
      </c>
      <c r="AK78" s="3" t="str">
        <f ca="1">INDIRECT(ADDRESS(78,2))</f>
        <v>Water Heating</v>
      </c>
      <c r="AL78" s="3">
        <f ca="1">INDIRECT(ADDRESS(78,3))</f>
        <v>71613249.542799994</v>
      </c>
      <c r="AM78" s="4">
        <f ca="1">IFERROR(INDIRECT(ADDRESS(78,3)) / INDIRECT(ADDRESS(79,3)),0)</f>
        <v>3.2686009375331671E-2</v>
      </c>
      <c r="AN78" s="3">
        <f ca="1">INDIRECT(ADDRESS(78,9))</f>
        <v>71016016.326800004</v>
      </c>
      <c r="AO78" s="4">
        <f ca="1">IFERROR(INDIRECT(ADDRESS(78,9)) / INDIRECT(ADDRESS(79,9)),0)</f>
        <v>3.4694783952845011E-2</v>
      </c>
      <c r="AP78" s="4">
        <f ca="1">IFERROR((INDIRECT(ADDRESS(78,9)) - INDIRECT(ADDRESS(78,3)))/ INDIRECT(ADDRESS(78,3)),1)</f>
        <v>-8.3397027758536704E-3</v>
      </c>
      <c r="AQ78" s="3">
        <f ca="1">INDIRECT(ADDRESS(78,14))</f>
        <v>62702976.152800001</v>
      </c>
      <c r="AR78" s="4">
        <f ca="1">IFERROR(INDIRECT(ADDRESS(78,14)) / INDIRECT(ADDRESS(79,14)),0)</f>
        <v>3.5023534334668385E-2</v>
      </c>
      <c r="AS78" s="4">
        <f ca="1">IFERROR((INDIRECT(ADDRESS(78,14)) - INDIRECT(ADDRESS(78,3)))/ INDIRECT(ADDRESS(78,3)),1)</f>
        <v>-0.1244221348268064</v>
      </c>
      <c r="AT78" s="3">
        <f ca="1">INDIRECT(ADDRESS(78,19))</f>
        <v>50336017.8728</v>
      </c>
      <c r="AU78" s="4">
        <f ca="1">IFERROR(INDIRECT(ADDRESS(78,19)) / INDIRECT(ADDRESS(79,19)),0)</f>
        <v>3.0648758953691457E-2</v>
      </c>
      <c r="AV78" s="4">
        <f ca="1">IFERROR((INDIRECT(ADDRESS(78,19)) - INDIRECT(ADDRESS(78,3)))/ INDIRECT(ADDRESS(78,3)),1)</f>
        <v>-0.29711305946651057</v>
      </c>
      <c r="AW78" s="3">
        <f ca="1">INDIRECT(ADDRESS(78,24))</f>
        <v>41830664.426799998</v>
      </c>
      <c r="AX78" s="4">
        <f ca="1">IFERROR(INDIRECT(ADDRESS(78,24)) / INDIRECT(ADDRESS(79,24)),0)</f>
        <v>2.7892266553816377E-2</v>
      </c>
      <c r="AY78" s="4">
        <f ca="1">IFERROR((INDIRECT(ADDRESS(78,24)) - INDIRECT(ADDRESS(78,3)))/ INDIRECT(ADDRESS(78,3)),1)</f>
        <v>-0.41588093413077554</v>
      </c>
      <c r="AZ78" s="3">
        <f ca="1">INDIRECT(ADDRESS(78,29))</f>
        <v>40150879.040683351</v>
      </c>
      <c r="BA78" s="4">
        <f ca="1">IFERROR(INDIRECT(ADDRESS(78,29)) / INDIRECT(ADDRESS(79,29)),0)</f>
        <v>2.7932397335107838E-2</v>
      </c>
      <c r="BB78" s="4">
        <f ca="1">IFERROR((INDIRECT(ADDRESS(78,29)) - INDIRECT(ADDRESS(78,3)))/ INDIRECT(ADDRESS(78,3)),1)</f>
        <v>-0.43933728329578187</v>
      </c>
      <c r="BC78" s="3">
        <f ca="1">INDIRECT(ADDRESS(78,34))</f>
        <v>40129752.348920062</v>
      </c>
      <c r="BD78" s="4">
        <f ca="1">IFERROR(INDIRECT(ADDRESS(78,34)) / INDIRECT(ADDRESS(79,34)),0)</f>
        <v>2.8373510291586697E-2</v>
      </c>
      <c r="BE78" s="4">
        <f ca="1">IFERROR((INDIRECT(ADDRESS(78,34)) - INDIRECT(ADDRESS(78,3)))/ INDIRECT(ADDRESS(78,3)),1)</f>
        <v>-0.43963229423158173</v>
      </c>
    </row>
    <row r="79" spans="1:57" x14ac:dyDescent="0.25">
      <c r="A79" s="1" t="s">
        <v>21</v>
      </c>
      <c r="B79" s="1"/>
      <c r="C79">
        <v>2190945022.3937998</v>
      </c>
      <c r="D79">
        <v>2181013091.4938002</v>
      </c>
      <c r="E79">
        <v>2168649074.6283998</v>
      </c>
      <c r="F79">
        <v>2159616601.4717999</v>
      </c>
      <c r="G79">
        <v>2148245068.49615</v>
      </c>
      <c r="H79">
        <v>2127575738.8919001</v>
      </c>
      <c r="I79">
        <v>2046878759.1622</v>
      </c>
      <c r="J79">
        <v>2014504207.2439001</v>
      </c>
      <c r="K79">
        <v>1980060274.7228</v>
      </c>
      <c r="L79">
        <v>1944509010.6858001</v>
      </c>
      <c r="M79">
        <v>1906365944.5527999</v>
      </c>
      <c r="N79">
        <v>1790309782.9488001</v>
      </c>
      <c r="O79">
        <v>1759573942.6503</v>
      </c>
      <c r="P79">
        <v>1730433772.3900001</v>
      </c>
      <c r="Q79">
        <v>1701671982.5610001</v>
      </c>
      <c r="R79">
        <v>1669334474.4214499</v>
      </c>
      <c r="S79">
        <v>1642350933.3234301</v>
      </c>
      <c r="T79">
        <v>1614208303.0134101</v>
      </c>
      <c r="U79">
        <v>1585373387.97173</v>
      </c>
      <c r="V79">
        <v>1556266161.3201699</v>
      </c>
      <c r="W79">
        <v>1527057278.5388501</v>
      </c>
      <c r="X79">
        <v>1499722668.5070701</v>
      </c>
      <c r="Y79">
        <v>1488467833.464505</v>
      </c>
      <c r="Z79">
        <v>1479269293.2331009</v>
      </c>
      <c r="AA79">
        <v>1471075469.2143121</v>
      </c>
      <c r="AB79">
        <v>1463546693.803019</v>
      </c>
      <c r="AC79">
        <v>1437430470.395689</v>
      </c>
      <c r="AD79">
        <v>1431771092.156661</v>
      </c>
      <c r="AE79">
        <v>1426701542.957567</v>
      </c>
      <c r="AF79">
        <v>1422129508.153791</v>
      </c>
      <c r="AG79">
        <v>1417470998.425509</v>
      </c>
      <c r="AH79">
        <v>1414338653.7836781</v>
      </c>
    </row>
    <row r="80" spans="1:57" x14ac:dyDescent="0.25">
      <c r="A80" s="5" t="s">
        <v>3</v>
      </c>
      <c r="B80" s="1" t="s">
        <v>24</v>
      </c>
      <c r="C80">
        <v>653072660.62</v>
      </c>
      <c r="D80">
        <v>651789712.59000003</v>
      </c>
      <c r="E80">
        <v>651789722.59000003</v>
      </c>
      <c r="F80">
        <v>651789712.49000001</v>
      </c>
      <c r="G80">
        <v>651789722.59000003</v>
      </c>
      <c r="H80">
        <v>651789722.59000003</v>
      </c>
      <c r="I80">
        <v>607675673.25999999</v>
      </c>
      <c r="J80">
        <v>607675673.25999999</v>
      </c>
      <c r="K80">
        <v>607675673.25999999</v>
      </c>
      <c r="L80">
        <v>607675683.38</v>
      </c>
      <c r="M80">
        <v>607675673.25999999</v>
      </c>
      <c r="N80">
        <v>525202789.61000001</v>
      </c>
      <c r="O80">
        <v>525202779.60000002</v>
      </c>
      <c r="P80">
        <v>525202779.60000002</v>
      </c>
      <c r="Q80">
        <v>525202779.60000002</v>
      </c>
      <c r="R80">
        <v>525202779.60000002</v>
      </c>
      <c r="S80">
        <v>525202779.60000002</v>
      </c>
      <c r="T80">
        <v>525202779.60000002</v>
      </c>
      <c r="U80">
        <v>525202779.59899998</v>
      </c>
      <c r="V80">
        <v>525202789.61000001</v>
      </c>
      <c r="W80">
        <v>525202779.61000001</v>
      </c>
      <c r="X80">
        <v>525202779.61000001</v>
      </c>
      <c r="Y80">
        <v>525202789.61000001</v>
      </c>
      <c r="Z80">
        <v>525202789.61000001</v>
      </c>
      <c r="AA80">
        <v>525202789.61000001</v>
      </c>
      <c r="AB80">
        <v>525202779.59899998</v>
      </c>
      <c r="AC80">
        <v>504584566.48000002</v>
      </c>
      <c r="AD80">
        <v>504584567.48000002</v>
      </c>
      <c r="AE80">
        <v>504584566.48000002</v>
      </c>
      <c r="AF80">
        <v>504584567.58999997</v>
      </c>
      <c r="AG80">
        <v>504584566.48000002</v>
      </c>
      <c r="AH80">
        <v>504584566.48000002</v>
      </c>
      <c r="AK80" s="3" t="str">
        <f ca="1">INDIRECT(ADDRESS(80,2))</f>
        <v>Energy Production</v>
      </c>
      <c r="AL80" s="3">
        <f ca="1">INDIRECT(ADDRESS(80,3))</f>
        <v>653072660.62</v>
      </c>
      <c r="AM80" s="4">
        <f ca="1">IFERROR(INDIRECT(ADDRESS(80,3)) / INDIRECT(ADDRESS(89,3)),0)</f>
        <v>0.29807806857082192</v>
      </c>
      <c r="AN80" s="3">
        <f ca="1">INDIRECT(ADDRESS(80,9))</f>
        <v>607675673.25999999</v>
      </c>
      <c r="AO80" s="4">
        <f ca="1">IFERROR(INDIRECT(ADDRESS(80,9)) / INDIRECT(ADDRESS(89,9)),0)</f>
        <v>0.29053867256426236</v>
      </c>
      <c r="AP80" s="4">
        <f ca="1">IFERROR((INDIRECT(ADDRESS(80,9)) - INDIRECT(ADDRESS(80,3)))/ INDIRECT(ADDRESS(80,3)),1)</f>
        <v>-6.951291961433817E-2</v>
      </c>
      <c r="AQ80" s="3">
        <f ca="1">INDIRECT(ADDRESS(80,14))</f>
        <v>525202789.61000001</v>
      </c>
      <c r="AR80" s="4">
        <f ca="1">IFERROR(INDIRECT(ADDRESS(80,14)) / INDIRECT(ADDRESS(89,14)),0)</f>
        <v>0.27530429841917059</v>
      </c>
      <c r="AS80" s="4">
        <f ca="1">IFERROR((INDIRECT(ADDRESS(80,14)) - INDIRECT(ADDRESS(80,3)))/ INDIRECT(ADDRESS(80,3)),1)</f>
        <v>-0.19579731126488384</v>
      </c>
      <c r="AT80" s="3">
        <f ca="1">INDIRECT(ADDRESS(80,19))</f>
        <v>525202779.60000002</v>
      </c>
      <c r="AU80" s="4">
        <f ca="1">IFERROR(INDIRECT(ADDRESS(80,19)) / INDIRECT(ADDRESS(89,19)),0)</f>
        <v>0.28542682844295686</v>
      </c>
      <c r="AV80" s="4">
        <f ca="1">IFERROR((INDIRECT(ADDRESS(80,19)) - INDIRECT(ADDRESS(80,3)))/ INDIRECT(ADDRESS(80,3)),1)</f>
        <v>-0.19579732659242791</v>
      </c>
      <c r="AW80" s="3">
        <f ca="1">INDIRECT(ADDRESS(80,24))</f>
        <v>525202779.61000001</v>
      </c>
      <c r="AX80" s="4">
        <f ca="1">IFERROR(INDIRECT(ADDRESS(80,24)) / INDIRECT(ADDRESS(89,24)),0)</f>
        <v>0.29532272898596545</v>
      </c>
      <c r="AY80" s="4">
        <f ca="1">IFERROR((INDIRECT(ADDRESS(80,24)) - INDIRECT(ADDRESS(80,3)))/ INDIRECT(ADDRESS(80,3)),1)</f>
        <v>-0.19579732657711571</v>
      </c>
      <c r="AZ80" s="3">
        <f ca="1">INDIRECT(ADDRESS(80,29))</f>
        <v>504584566.48000002</v>
      </c>
      <c r="BA80" s="4">
        <f ca="1">IFERROR(INDIRECT(ADDRESS(80,29)) / INDIRECT(ADDRESS(89,29)),0)</f>
        <v>0.2955217775195455</v>
      </c>
      <c r="BB80" s="4">
        <f ca="1">IFERROR((INDIRECT(ADDRESS(80,29)) - INDIRECT(ADDRESS(80,3)))/ INDIRECT(ADDRESS(80,3)),1)</f>
        <v>-0.22736841257300769</v>
      </c>
      <c r="BC80" s="3">
        <f ca="1">INDIRECT(ADDRESS(80,34))</f>
        <v>504584566.48000002</v>
      </c>
      <c r="BD80" s="4">
        <f ca="1">IFERROR(INDIRECT(ADDRESS(80,34)) / INDIRECT(ADDRESS(89,34)),0)</f>
        <v>0.30106553646805351</v>
      </c>
      <c r="BE80" s="4">
        <f ca="1">IFERROR((INDIRECT(ADDRESS(80,34)) - INDIRECT(ADDRESS(80,3)))/ INDIRECT(ADDRESS(80,3)),1)</f>
        <v>-0.22736841257300769</v>
      </c>
    </row>
    <row r="81" spans="1:57" x14ac:dyDescent="0.25">
      <c r="A81" s="5"/>
      <c r="B81" s="1" t="s">
        <v>83</v>
      </c>
      <c r="C81">
        <v>452108148.43599999</v>
      </c>
      <c r="D81">
        <v>452108144.05599999</v>
      </c>
      <c r="E81">
        <v>452108149.21600002</v>
      </c>
      <c r="F81">
        <v>452108147.85600001</v>
      </c>
      <c r="G81">
        <v>452108138.81599998</v>
      </c>
      <c r="H81">
        <v>452108142.87599999</v>
      </c>
      <c r="I81">
        <v>452122687.31599998</v>
      </c>
      <c r="J81">
        <v>452287880.815</v>
      </c>
      <c r="K81">
        <v>452453084.81300002</v>
      </c>
      <c r="L81">
        <v>452618289.02100003</v>
      </c>
      <c r="M81">
        <v>452783501.61000001</v>
      </c>
      <c r="N81">
        <v>452948703.07800001</v>
      </c>
      <c r="O81">
        <v>453334194.42500001</v>
      </c>
      <c r="P81">
        <v>453719657.861</v>
      </c>
      <c r="Q81">
        <v>454105155.917</v>
      </c>
      <c r="R81">
        <v>454490631.384</v>
      </c>
      <c r="S81">
        <v>454876125.92000002</v>
      </c>
      <c r="T81">
        <v>455495624.37900001</v>
      </c>
      <c r="U81">
        <v>456115151.13800001</v>
      </c>
      <c r="V81">
        <v>456734671.75700003</v>
      </c>
      <c r="W81">
        <v>457354204.60699999</v>
      </c>
      <c r="X81">
        <v>457973720.09600002</v>
      </c>
      <c r="Y81">
        <v>458311013.81</v>
      </c>
      <c r="Z81">
        <v>458648311.09399998</v>
      </c>
      <c r="AA81">
        <v>458985610.61900002</v>
      </c>
      <c r="AB81">
        <v>459322904.89300001</v>
      </c>
      <c r="AC81">
        <v>459660198.89700001</v>
      </c>
      <c r="AD81">
        <v>459790982.759</v>
      </c>
      <c r="AE81">
        <v>459921771.50999999</v>
      </c>
      <c r="AF81">
        <v>460052561.48100001</v>
      </c>
      <c r="AG81">
        <v>460183359.792</v>
      </c>
      <c r="AH81">
        <v>460314138.62400001</v>
      </c>
      <c r="AK81" s="3" t="str">
        <f ca="1">INDIRECT(ADDRESS(81,2))</f>
        <v>Industrial Processes</v>
      </c>
      <c r="AL81" s="3">
        <f ca="1">INDIRECT(ADDRESS(81,3))</f>
        <v>452108148.43599999</v>
      </c>
      <c r="AM81" s="4">
        <f ca="1">IFERROR(INDIRECT(ADDRESS(81,3)) / INDIRECT(ADDRESS(89,3)),0)</f>
        <v>0.20635303205464833</v>
      </c>
      <c r="AN81" s="3">
        <f ca="1">INDIRECT(ADDRESS(81,9))</f>
        <v>452122687.31599998</v>
      </c>
      <c r="AO81" s="4">
        <f ca="1">IFERROR(INDIRECT(ADDRESS(81,9)) / INDIRECT(ADDRESS(89,9)),0)</f>
        <v>0.21616650326690698</v>
      </c>
      <c r="AP81" s="4">
        <f ca="1">IFERROR((INDIRECT(ADDRESS(81,9)) - INDIRECT(ADDRESS(81,3)))/ INDIRECT(ADDRESS(81,3)),1)</f>
        <v>3.2157969393584912E-5</v>
      </c>
      <c r="AQ81" s="3">
        <f ca="1">INDIRECT(ADDRESS(81,14))</f>
        <v>452948703.07800001</v>
      </c>
      <c r="AR81" s="4">
        <f ca="1">IFERROR(INDIRECT(ADDRESS(81,14)) / INDIRECT(ADDRESS(89,14)),0)</f>
        <v>0.23742966981070221</v>
      </c>
      <c r="AS81" s="4">
        <f ca="1">IFERROR((INDIRECT(ADDRESS(81,14)) - INDIRECT(ADDRESS(81,3)))/ INDIRECT(ADDRESS(81,3)),1)</f>
        <v>1.8591893220854163E-3</v>
      </c>
      <c r="AT81" s="3">
        <f ca="1">INDIRECT(ADDRESS(81,19))</f>
        <v>454876125.92000002</v>
      </c>
      <c r="AU81" s="4">
        <f ca="1">IFERROR(INDIRECT(ADDRESS(81,19)) / INDIRECT(ADDRESS(89,19)),0)</f>
        <v>0.24720708838336219</v>
      </c>
      <c r="AV81" s="4">
        <f ca="1">IFERROR((INDIRECT(ADDRESS(81,19)) - INDIRECT(ADDRESS(81,3)))/ INDIRECT(ADDRESS(81,3)),1)</f>
        <v>6.1223791112268782E-3</v>
      </c>
      <c r="AW81" s="3">
        <f ca="1">INDIRECT(ADDRESS(81,24))</f>
        <v>457973720.09600002</v>
      </c>
      <c r="AX81" s="4">
        <f ca="1">IFERROR(INDIRECT(ADDRESS(81,24)) / INDIRECT(ADDRESS(89,24)),0)</f>
        <v>0.25751967444467466</v>
      </c>
      <c r="AY81" s="4">
        <f ca="1">IFERROR((INDIRECT(ADDRESS(81,24)) - INDIRECT(ADDRESS(81,3)))/ INDIRECT(ADDRESS(81,3)),1)</f>
        <v>1.2973824250438944E-2</v>
      </c>
      <c r="AZ81" s="3">
        <f ca="1">INDIRECT(ADDRESS(81,29))</f>
        <v>459660198.89700001</v>
      </c>
      <c r="BA81" s="4">
        <f ca="1">IFERROR(INDIRECT(ADDRESS(81,29)) / INDIRECT(ADDRESS(89,29)),0)</f>
        <v>0.26921076873327926</v>
      </c>
      <c r="BB81" s="4">
        <f ca="1">IFERROR((INDIRECT(ADDRESS(81,29)) - INDIRECT(ADDRESS(81,3)))/ INDIRECT(ADDRESS(81,3)),1)</f>
        <v>1.6704079515322177E-2</v>
      </c>
      <c r="BC81" s="3">
        <f ca="1">INDIRECT(ADDRESS(81,34))</f>
        <v>460314138.62400001</v>
      </c>
      <c r="BD81" s="4">
        <f ca="1">IFERROR(INDIRECT(ADDRESS(81,34)) / INDIRECT(ADDRESS(89,34)),0)</f>
        <v>0.27465113341741004</v>
      </c>
      <c r="BE81" s="4">
        <f ca="1">IFERROR((INDIRECT(ADDRESS(81,34)) - INDIRECT(ADDRESS(81,3)))/ INDIRECT(ADDRESS(81,3)),1)</f>
        <v>1.8150502742291661E-2</v>
      </c>
    </row>
    <row r="82" spans="1:57" x14ac:dyDescent="0.25">
      <c r="A82" s="5"/>
      <c r="B82" s="1" t="s">
        <v>84</v>
      </c>
      <c r="C82">
        <v>47932011.942000002</v>
      </c>
      <c r="D82">
        <v>47837688.825999998</v>
      </c>
      <c r="E82">
        <v>48076486.318999998</v>
      </c>
      <c r="F82">
        <v>48319977.028999999</v>
      </c>
      <c r="G82">
        <v>48563889.717</v>
      </c>
      <c r="H82">
        <v>48807903.233999997</v>
      </c>
      <c r="I82">
        <v>48861939.770000003</v>
      </c>
      <c r="J82">
        <v>48702849.592999987</v>
      </c>
      <c r="K82">
        <v>48544584.413000003</v>
      </c>
      <c r="L82">
        <v>48387151.623999998</v>
      </c>
      <c r="M82">
        <v>48230475.629000001</v>
      </c>
      <c r="N82">
        <v>47924142.177000001</v>
      </c>
      <c r="O82">
        <v>47596366.066</v>
      </c>
      <c r="P82">
        <v>47268597.456</v>
      </c>
      <c r="Q82">
        <v>46940831.826000012</v>
      </c>
      <c r="R82">
        <v>46613067.767999999</v>
      </c>
      <c r="S82">
        <v>46287696.673</v>
      </c>
      <c r="T82">
        <v>45946534.570999987</v>
      </c>
      <c r="U82">
        <v>45586595.795999996</v>
      </c>
      <c r="V82">
        <v>45185439.398999996</v>
      </c>
      <c r="W82">
        <v>44750114.634000003</v>
      </c>
      <c r="X82">
        <v>44316292.665999994</v>
      </c>
      <c r="Y82">
        <v>43894677.619000003</v>
      </c>
      <c r="Z82">
        <v>43472779.296999998</v>
      </c>
      <c r="AA82">
        <v>43050877.776000001</v>
      </c>
      <c r="AB82">
        <v>42629025.721000001</v>
      </c>
      <c r="AC82">
        <v>42210037.027999997</v>
      </c>
      <c r="AD82">
        <v>41796601.858000003</v>
      </c>
      <c r="AE82">
        <v>41384206.989</v>
      </c>
      <c r="AF82">
        <v>40972622</v>
      </c>
      <c r="AG82">
        <v>40561517.913999997</v>
      </c>
      <c r="AH82">
        <v>40152081.614</v>
      </c>
      <c r="AK82" s="3" t="str">
        <f ca="1">INDIRECT(ADDRESS(82,2))</f>
        <v>Lighting</v>
      </c>
      <c r="AL82" s="3">
        <f ca="1">INDIRECT(ADDRESS(82,3))</f>
        <v>47932011.942000002</v>
      </c>
      <c r="AM82" s="4">
        <f ca="1">IFERROR(INDIRECT(ADDRESS(82,3)) / INDIRECT(ADDRESS(89,3)),0)</f>
        <v>2.1877323005407991E-2</v>
      </c>
      <c r="AN82" s="3">
        <f ca="1">INDIRECT(ADDRESS(82,9))</f>
        <v>48861939.770000003</v>
      </c>
      <c r="AO82" s="4">
        <f ca="1">IFERROR(INDIRECT(ADDRESS(82,9)) / INDIRECT(ADDRESS(89,9)),0)</f>
        <v>2.3361611702393623E-2</v>
      </c>
      <c r="AP82" s="4">
        <f ca="1">IFERROR((INDIRECT(ADDRESS(82,9)) - INDIRECT(ADDRESS(82,3)))/ INDIRECT(ADDRESS(82,3)),1)</f>
        <v>1.9400976306299392E-2</v>
      </c>
      <c r="AQ82" s="3">
        <f ca="1">INDIRECT(ADDRESS(82,14))</f>
        <v>47924142.177000001</v>
      </c>
      <c r="AR82" s="4">
        <f ca="1">IFERROR(INDIRECT(ADDRESS(82,14)) / INDIRECT(ADDRESS(89,14)),0)</f>
        <v>2.5121196231986571E-2</v>
      </c>
      <c r="AS82" s="4">
        <f ca="1">IFERROR((INDIRECT(ADDRESS(82,14)) - INDIRECT(ADDRESS(82,3)))/ INDIRECT(ADDRESS(82,3)),1)</f>
        <v>-1.6418599347599644E-4</v>
      </c>
      <c r="AT82" s="3">
        <f ca="1">INDIRECT(ADDRESS(82,19))</f>
        <v>46287696.673</v>
      </c>
      <c r="AU82" s="4">
        <f ca="1">IFERROR(INDIRECT(ADDRESS(82,19)) / INDIRECT(ADDRESS(89,19)),0)</f>
        <v>2.5155522724701125E-2</v>
      </c>
      <c r="AV82" s="4">
        <f ca="1">IFERROR((INDIRECT(ADDRESS(82,19)) - INDIRECT(ADDRESS(82,3)))/ INDIRECT(ADDRESS(82,3)),1)</f>
        <v>-3.4305158543933026E-2</v>
      </c>
      <c r="AW82" s="3">
        <f ca="1">INDIRECT(ADDRESS(82,24))</f>
        <v>44316292.665999994</v>
      </c>
      <c r="AX82" s="4">
        <f ca="1">IFERROR(INDIRECT(ADDRESS(82,24)) / INDIRECT(ADDRESS(89,24)),0)</f>
        <v>2.4919153128592188E-2</v>
      </c>
      <c r="AY82" s="4">
        <f ca="1">IFERROR((INDIRECT(ADDRESS(82,24)) - INDIRECT(ADDRESS(82,3)))/ INDIRECT(ADDRESS(82,3)),1)</f>
        <v>-7.543433145212429E-2</v>
      </c>
      <c r="AZ82" s="3">
        <f ca="1">INDIRECT(ADDRESS(82,29))</f>
        <v>42210037.027999997</v>
      </c>
      <c r="BA82" s="4">
        <f ca="1">IFERROR(INDIRECT(ADDRESS(82,29)) / INDIRECT(ADDRESS(89,29)),0)</f>
        <v>2.4721297479824558E-2</v>
      </c>
      <c r="BB82" s="4">
        <f ca="1">IFERROR((INDIRECT(ADDRESS(82,29)) - INDIRECT(ADDRESS(82,3)))/ INDIRECT(ADDRESS(82,3)),1)</f>
        <v>-0.11937689828092057</v>
      </c>
      <c r="BC82" s="3">
        <f ca="1">INDIRECT(ADDRESS(82,34))</f>
        <v>40152081.614</v>
      </c>
      <c r="BD82" s="4">
        <f ca="1">IFERROR(INDIRECT(ADDRESS(82,34)) / INDIRECT(ADDRESS(89,34)),0)</f>
        <v>2.3957149691987496E-2</v>
      </c>
      <c r="BE82" s="4">
        <f ca="1">IFERROR((INDIRECT(ADDRESS(82,34)) - INDIRECT(ADDRESS(82,3)))/ INDIRECT(ADDRESS(82,3)),1)</f>
        <v>-0.16231178314430209</v>
      </c>
    </row>
    <row r="83" spans="1:57" x14ac:dyDescent="0.25">
      <c r="A83" s="5"/>
      <c r="B83" s="1" t="s">
        <v>85</v>
      </c>
      <c r="C83">
        <v>25078806.98</v>
      </c>
      <c r="D83">
        <v>25207328.789999999</v>
      </c>
      <c r="E83">
        <v>25301516.219999999</v>
      </c>
      <c r="F83">
        <v>25480775.140000001</v>
      </c>
      <c r="G83">
        <v>25666510.960000001</v>
      </c>
      <c r="H83">
        <v>25854084.120000001</v>
      </c>
      <c r="I83">
        <v>25930919.609999999</v>
      </c>
      <c r="J83">
        <v>25996597.140000001</v>
      </c>
      <c r="K83">
        <v>26063188.219999999</v>
      </c>
      <c r="L83">
        <v>26130667.73</v>
      </c>
      <c r="M83">
        <v>26198147.030000001</v>
      </c>
      <c r="N83">
        <v>26153012.149999999</v>
      </c>
      <c r="O83">
        <v>26100967.530000001</v>
      </c>
      <c r="P83">
        <v>26048926.170000002</v>
      </c>
      <c r="Q83">
        <v>25996882.629999999</v>
      </c>
      <c r="R83">
        <v>25944833.989999998</v>
      </c>
      <c r="S83">
        <v>25927697.5</v>
      </c>
      <c r="T83">
        <v>25898263.539999999</v>
      </c>
      <c r="U83">
        <v>25868836.77</v>
      </c>
      <c r="V83">
        <v>25839395.149999999</v>
      </c>
      <c r="W83">
        <v>25809967.649999999</v>
      </c>
      <c r="X83">
        <v>25796472.120000001</v>
      </c>
      <c r="Y83">
        <v>25774022.199999999</v>
      </c>
      <c r="Z83">
        <v>25751563.670000002</v>
      </c>
      <c r="AA83">
        <v>25729107</v>
      </c>
      <c r="AB83">
        <v>25706651.969999999</v>
      </c>
      <c r="AC83">
        <v>25687650.129999999</v>
      </c>
      <c r="AD83">
        <v>25662188.02</v>
      </c>
      <c r="AE83">
        <v>25636715.789999999</v>
      </c>
      <c r="AF83">
        <v>25611244.920000002</v>
      </c>
      <c r="AG83">
        <v>25585781.219999999</v>
      </c>
      <c r="AH83">
        <v>25562921.59</v>
      </c>
      <c r="AK83" s="3" t="str">
        <f ca="1">INDIRECT(ADDRESS(83,2))</f>
        <v>Major Appliances</v>
      </c>
      <c r="AL83" s="3">
        <f ca="1">INDIRECT(ADDRESS(83,3))</f>
        <v>25078806.98</v>
      </c>
      <c r="AM83" s="4">
        <f ca="1">IFERROR(INDIRECT(ADDRESS(83,3)) / INDIRECT(ADDRESS(89,3)),0)</f>
        <v>1.1446570645848156E-2</v>
      </c>
      <c r="AN83" s="3">
        <f ca="1">INDIRECT(ADDRESS(83,9))</f>
        <v>25930919.609999999</v>
      </c>
      <c r="AO83" s="4">
        <f ca="1">IFERROR(INDIRECT(ADDRESS(83,9)) / INDIRECT(ADDRESS(89,9)),0)</f>
        <v>1.2397953864834953E-2</v>
      </c>
      <c r="AP83" s="4">
        <f ca="1">IFERROR((INDIRECT(ADDRESS(83,9)) - INDIRECT(ADDRESS(83,3)))/ INDIRECT(ADDRESS(83,3)),1)</f>
        <v>3.3977398952013425E-2</v>
      </c>
      <c r="AQ83" s="3">
        <f ca="1">INDIRECT(ADDRESS(83,14))</f>
        <v>26153012.149999999</v>
      </c>
      <c r="AR83" s="4">
        <f ca="1">IFERROR(INDIRECT(ADDRESS(83,14)) / INDIRECT(ADDRESS(89,14)),0)</f>
        <v>1.3709060202917673E-2</v>
      </c>
      <c r="AS83" s="4">
        <f ca="1">IFERROR((INDIRECT(ADDRESS(83,14)) - INDIRECT(ADDRESS(83,3)))/ INDIRECT(ADDRESS(83,3)),1)</f>
        <v>4.2833184642980096E-2</v>
      </c>
      <c r="AT83" s="3">
        <f ca="1">INDIRECT(ADDRESS(83,19))</f>
        <v>25927697.5</v>
      </c>
      <c r="AU83" s="4">
        <f ca="1">IFERROR(INDIRECT(ADDRESS(83,19)) / INDIRECT(ADDRESS(89,19)),0)</f>
        <v>1.4090672695772195E-2</v>
      </c>
      <c r="AV83" s="4">
        <f ca="1">IFERROR((INDIRECT(ADDRESS(83,19)) - INDIRECT(ADDRESS(83,3)))/ INDIRECT(ADDRESS(83,3)),1)</f>
        <v>3.3848919554944457E-2</v>
      </c>
      <c r="AW83" s="3">
        <f ca="1">INDIRECT(ADDRESS(83,24))</f>
        <v>25796472.120000001</v>
      </c>
      <c r="AX83" s="4">
        <f ca="1">IFERROR(INDIRECT(ADDRESS(83,24)) / INDIRECT(ADDRESS(89,24)),0)</f>
        <v>1.4505415508931399E-2</v>
      </c>
      <c r="AY83" s="4">
        <f ca="1">IFERROR((INDIRECT(ADDRESS(83,24)) - INDIRECT(ADDRESS(83,3)))/ INDIRECT(ADDRESS(83,3)),1)</f>
        <v>2.8616398721531235E-2</v>
      </c>
      <c r="AZ83" s="3">
        <f ca="1">INDIRECT(ADDRESS(83,29))</f>
        <v>25687650.129999999</v>
      </c>
      <c r="BA83" s="4">
        <f ca="1">IFERROR(INDIRECT(ADDRESS(83,29)) / INDIRECT(ADDRESS(89,29)),0)</f>
        <v>1.504457435088569E-2</v>
      </c>
      <c r="BB83" s="4">
        <f ca="1">IFERROR((INDIRECT(ADDRESS(83,29)) - INDIRECT(ADDRESS(83,3)))/ INDIRECT(ADDRESS(83,3)),1)</f>
        <v>2.427719749530121E-2</v>
      </c>
      <c r="BC83" s="3">
        <f ca="1">INDIRECT(ADDRESS(83,34))</f>
        <v>25562921.59</v>
      </c>
      <c r="BD83" s="4">
        <f ca="1">IFERROR(INDIRECT(ADDRESS(83,34)) / INDIRECT(ADDRESS(89,34)),0)</f>
        <v>1.5252378319599642E-2</v>
      </c>
      <c r="BE83" s="4">
        <f ca="1">IFERROR((INDIRECT(ADDRESS(83,34)) - INDIRECT(ADDRESS(83,3)))/ INDIRECT(ADDRESS(83,3)),1)</f>
        <v>1.9303733641958091E-2</v>
      </c>
    </row>
    <row r="84" spans="1:57" x14ac:dyDescent="0.25">
      <c r="A84" s="5"/>
      <c r="B84" s="1" t="s">
        <v>86</v>
      </c>
      <c r="C84">
        <v>110616717.56999999</v>
      </c>
      <c r="D84">
        <v>110804355.98999999</v>
      </c>
      <c r="E84">
        <v>111594946.2</v>
      </c>
      <c r="F84">
        <v>112511388.66</v>
      </c>
      <c r="G84">
        <v>113437701.36</v>
      </c>
      <c r="H84">
        <v>114366966.23</v>
      </c>
      <c r="I84">
        <v>114911391.97</v>
      </c>
      <c r="J84">
        <v>114955931.81</v>
      </c>
      <c r="K84">
        <v>115003483.31</v>
      </c>
      <c r="L84">
        <v>115053888.63</v>
      </c>
      <c r="M84">
        <v>115105725.2</v>
      </c>
      <c r="N84">
        <v>114825377.68000001</v>
      </c>
      <c r="O84">
        <v>114470500.97</v>
      </c>
      <c r="P84">
        <v>114115864.2</v>
      </c>
      <c r="Q84">
        <v>113761502.94</v>
      </c>
      <c r="R84">
        <v>113407383.39</v>
      </c>
      <c r="S84">
        <v>113103316.88</v>
      </c>
      <c r="T84">
        <v>112742065.91</v>
      </c>
      <c r="U84">
        <v>112352948.78</v>
      </c>
      <c r="V84">
        <v>111902136.8</v>
      </c>
      <c r="W84">
        <v>111400568.45</v>
      </c>
      <c r="X84">
        <v>110922940.84999999</v>
      </c>
      <c r="Y84">
        <v>110484283.02</v>
      </c>
      <c r="Z84">
        <v>110045162.86</v>
      </c>
      <c r="AA84">
        <v>109605992.06999999</v>
      </c>
      <c r="AB84">
        <v>109166755.12</v>
      </c>
      <c r="AC84">
        <v>108735905.40000001</v>
      </c>
      <c r="AD84">
        <v>108312922.5</v>
      </c>
      <c r="AE84">
        <v>107890399.54000001</v>
      </c>
      <c r="AF84">
        <v>107468278.43000001</v>
      </c>
      <c r="AG84">
        <v>107046433.38</v>
      </c>
      <c r="AH84">
        <v>106630660.09999999</v>
      </c>
      <c r="AK84" s="3" t="str">
        <f ca="1">INDIRECT(ADDRESS(84,2))</f>
        <v>Plug Load</v>
      </c>
      <c r="AL84" s="3">
        <f ca="1">INDIRECT(ADDRESS(84,3))</f>
        <v>110616717.56999999</v>
      </c>
      <c r="AM84" s="4">
        <f ca="1">IFERROR(INDIRECT(ADDRESS(84,3)) / INDIRECT(ADDRESS(89,3)),0)</f>
        <v>5.0488130208370778E-2</v>
      </c>
      <c r="AN84" s="3">
        <f ca="1">INDIRECT(ADDRESS(84,9))</f>
        <v>114911391.97</v>
      </c>
      <c r="AO84" s="4">
        <f ca="1">IFERROR(INDIRECT(ADDRESS(84,9)) / INDIRECT(ADDRESS(89,9)),0)</f>
        <v>5.4940825763796573E-2</v>
      </c>
      <c r="AP84" s="4">
        <f ca="1">IFERROR((INDIRECT(ADDRESS(84,9)) - INDIRECT(ADDRESS(84,3)))/ INDIRECT(ADDRESS(84,3)),1)</f>
        <v>3.8824822272295945E-2</v>
      </c>
      <c r="AQ84" s="3">
        <f ca="1">INDIRECT(ADDRESS(84,14))</f>
        <v>114825377.68000001</v>
      </c>
      <c r="AR84" s="4">
        <f ca="1">IFERROR(INDIRECT(ADDRESS(84,14)) / INDIRECT(ADDRESS(89,14)),0)</f>
        <v>6.0189931714534045E-2</v>
      </c>
      <c r="AS84" s="4">
        <f ca="1">IFERROR((INDIRECT(ADDRESS(84,14)) - INDIRECT(ADDRESS(84,3)))/ INDIRECT(ADDRESS(84,3)),1)</f>
        <v>3.8047233749606682E-2</v>
      </c>
      <c r="AT84" s="3">
        <f ca="1">INDIRECT(ADDRESS(84,19))</f>
        <v>113103316.88</v>
      </c>
      <c r="AU84" s="4">
        <f ca="1">IFERROR(INDIRECT(ADDRESS(84,19)) / INDIRECT(ADDRESS(89,19)),0)</f>
        <v>6.1467155691795859E-2</v>
      </c>
      <c r="AV84" s="4">
        <f ca="1">IFERROR((INDIRECT(ADDRESS(84,19)) - INDIRECT(ADDRESS(84,3)))/ INDIRECT(ADDRESS(84,3)),1)</f>
        <v>2.2479416896695054E-2</v>
      </c>
      <c r="AW84" s="3">
        <f ca="1">INDIRECT(ADDRESS(84,24))</f>
        <v>110922940.84999999</v>
      </c>
      <c r="AX84" s="4">
        <f ca="1">IFERROR(INDIRECT(ADDRESS(84,24)) / INDIRECT(ADDRESS(89,24)),0)</f>
        <v>6.2372224349794933E-2</v>
      </c>
      <c r="AY84" s="4">
        <f ca="1">IFERROR((INDIRECT(ADDRESS(84,24)) - INDIRECT(ADDRESS(84,3)))/ INDIRECT(ADDRESS(84,3)),1)</f>
        <v>2.7683273082680137E-3</v>
      </c>
      <c r="AZ84" s="3">
        <f ca="1">INDIRECT(ADDRESS(84,29))</f>
        <v>108735905.40000001</v>
      </c>
      <c r="BA84" s="4">
        <f ca="1">IFERROR(INDIRECT(ADDRESS(84,29)) / INDIRECT(ADDRESS(89,29)),0)</f>
        <v>6.3683731486620529E-2</v>
      </c>
      <c r="BB84" s="4">
        <f ca="1">IFERROR((INDIRECT(ADDRESS(84,29)) - INDIRECT(ADDRESS(84,3)))/ INDIRECT(ADDRESS(84,3)),1)</f>
        <v>-1.7002964934389592E-2</v>
      </c>
      <c r="BC84" s="3">
        <f ca="1">INDIRECT(ADDRESS(84,34))</f>
        <v>106630660.09999999</v>
      </c>
      <c r="BD84" s="4">
        <f ca="1">IFERROR(INDIRECT(ADDRESS(84,34)) / INDIRECT(ADDRESS(89,34)),0)</f>
        <v>6.3622272696328308E-2</v>
      </c>
      <c r="BE84" s="4">
        <f ca="1">IFERROR((INDIRECT(ADDRESS(84,34)) - INDIRECT(ADDRESS(84,3)))/ INDIRECT(ADDRESS(84,3)),1)</f>
        <v>-3.6034855829794071E-2</v>
      </c>
    </row>
    <row r="85" spans="1:57" x14ac:dyDescent="0.25">
      <c r="A85" s="5"/>
      <c r="B85" s="1" t="s">
        <v>87</v>
      </c>
      <c r="C85">
        <v>11701098.921</v>
      </c>
      <c r="D85">
        <v>11853983.017000001</v>
      </c>
      <c r="E85">
        <v>12018937.094000001</v>
      </c>
      <c r="F85">
        <v>12192354.981000001</v>
      </c>
      <c r="G85">
        <v>12368083.064999999</v>
      </c>
      <c r="H85">
        <v>12389434.589</v>
      </c>
      <c r="I85">
        <v>12379814.898</v>
      </c>
      <c r="J85">
        <v>12319759.217</v>
      </c>
      <c r="K85">
        <v>12262469.096999999</v>
      </c>
      <c r="L85">
        <v>12201222.640000001</v>
      </c>
      <c r="M85">
        <v>12200740.333000001</v>
      </c>
      <c r="N85">
        <v>12156454.213</v>
      </c>
      <c r="O85">
        <v>12099360.623</v>
      </c>
      <c r="P85">
        <v>12040586.012</v>
      </c>
      <c r="Q85">
        <v>11982227.357999999</v>
      </c>
      <c r="R85">
        <v>11925304.153000001</v>
      </c>
      <c r="S85">
        <v>11941488.911</v>
      </c>
      <c r="T85">
        <v>11956139.517000001</v>
      </c>
      <c r="U85">
        <v>11971321.550000001</v>
      </c>
      <c r="V85">
        <v>11985652.399</v>
      </c>
      <c r="W85">
        <v>11999026.249</v>
      </c>
      <c r="X85">
        <v>12013327.517999999</v>
      </c>
      <c r="Y85">
        <v>12028089.747</v>
      </c>
      <c r="Z85">
        <v>12043105.630000001</v>
      </c>
      <c r="AA85">
        <v>12058343.867000001</v>
      </c>
      <c r="AB85">
        <v>12073813.522</v>
      </c>
      <c r="AC85">
        <v>12089460.796</v>
      </c>
      <c r="AD85">
        <v>12105998.926999999</v>
      </c>
      <c r="AE85">
        <v>12122271.716</v>
      </c>
      <c r="AF85">
        <v>12138131.332</v>
      </c>
      <c r="AG85">
        <v>12153475.195</v>
      </c>
      <c r="AH85">
        <v>12168197.403000001</v>
      </c>
      <c r="AK85" s="3" t="str">
        <f ca="1">INDIRECT(ADDRESS(85,2))</f>
        <v>Space Cooling</v>
      </c>
      <c r="AL85" s="3">
        <f ca="1">INDIRECT(ADDRESS(85,3))</f>
        <v>11701098.921</v>
      </c>
      <c r="AM85" s="4">
        <f ca="1">IFERROR(INDIRECT(ADDRESS(85,3)) / INDIRECT(ADDRESS(89,3)),0)</f>
        <v>5.3406629565791305E-3</v>
      </c>
      <c r="AN85" s="3">
        <f ca="1">INDIRECT(ADDRESS(85,9))</f>
        <v>12379814.898</v>
      </c>
      <c r="AO85" s="4">
        <f ca="1">IFERROR(INDIRECT(ADDRESS(85,9)) / INDIRECT(ADDRESS(89,9)),0)</f>
        <v>5.9189714930669374E-3</v>
      </c>
      <c r="AP85" s="4">
        <f ca="1">IFERROR((INDIRECT(ADDRESS(85,9)) - INDIRECT(ADDRESS(85,3)))/ INDIRECT(ADDRESS(85,3)),1)</f>
        <v>5.8004464502210661E-2</v>
      </c>
      <c r="AQ85" s="3">
        <f ca="1">INDIRECT(ADDRESS(85,14))</f>
        <v>12156454.213</v>
      </c>
      <c r="AR85" s="4">
        <f ca="1">IFERROR(INDIRECT(ADDRESS(85,14)) / INDIRECT(ADDRESS(89,14)),0)</f>
        <v>6.37225118484217E-3</v>
      </c>
      <c r="AS85" s="4">
        <f ca="1">IFERROR((INDIRECT(ADDRESS(85,14)) - INDIRECT(ADDRESS(85,3)))/ INDIRECT(ADDRESS(85,3)),1)</f>
        <v>3.8915600583700034E-2</v>
      </c>
      <c r="AT85" s="3">
        <f ca="1">INDIRECT(ADDRESS(85,19))</f>
        <v>11941488.911</v>
      </c>
      <c r="AU85" s="4">
        <f ca="1">IFERROR(INDIRECT(ADDRESS(85,19)) / INDIRECT(ADDRESS(89,19)),0)</f>
        <v>6.4897244248199879E-3</v>
      </c>
      <c r="AV85" s="4">
        <f ca="1">IFERROR((INDIRECT(ADDRESS(85,19)) - INDIRECT(ADDRESS(85,3)))/ INDIRECT(ADDRESS(85,3)),1)</f>
        <v>2.0544223377906116E-2</v>
      </c>
      <c r="AW85" s="3">
        <f ca="1">INDIRECT(ADDRESS(85,24))</f>
        <v>12013327.517999999</v>
      </c>
      <c r="AX85" s="4">
        <f ca="1">IFERROR(INDIRECT(ADDRESS(85,24)) / INDIRECT(ADDRESS(89,24)),0)</f>
        <v>6.755121649303631E-3</v>
      </c>
      <c r="AY85" s="4">
        <f ca="1">IFERROR((INDIRECT(ADDRESS(85,24)) - INDIRECT(ADDRESS(85,3)))/ INDIRECT(ADDRESS(85,3)),1)</f>
        <v>2.6683698608823952E-2</v>
      </c>
      <c r="AZ85" s="3">
        <f ca="1">INDIRECT(ADDRESS(85,29))</f>
        <v>12089460.796</v>
      </c>
      <c r="BA85" s="4">
        <f ca="1">IFERROR(INDIRECT(ADDRESS(85,29)) / INDIRECT(ADDRESS(89,29)),0)</f>
        <v>7.0804760609506053E-3</v>
      </c>
      <c r="BB85" s="4">
        <f ca="1">IFERROR((INDIRECT(ADDRESS(85,29)) - INDIRECT(ADDRESS(85,3)))/ INDIRECT(ADDRESS(85,3)),1)</f>
        <v>3.31902052637984E-2</v>
      </c>
      <c r="BC85" s="3">
        <f ca="1">INDIRECT(ADDRESS(85,34))</f>
        <v>12168197.403000001</v>
      </c>
      <c r="BD85" s="4">
        <f ca="1">IFERROR(INDIRECT(ADDRESS(85,34)) / INDIRECT(ADDRESS(89,34)),0)</f>
        <v>7.2602792918133692E-3</v>
      </c>
      <c r="BE85" s="4">
        <f ca="1">IFERROR((INDIRECT(ADDRESS(85,34)) - INDIRECT(ADDRESS(85,3)))/ INDIRECT(ADDRESS(85,3)),1)</f>
        <v>3.9919197773954175E-2</v>
      </c>
    </row>
    <row r="86" spans="1:57" x14ac:dyDescent="0.25">
      <c r="A86" s="5"/>
      <c r="B86" s="1" t="s">
        <v>88</v>
      </c>
      <c r="C86">
        <v>228596226.74200001</v>
      </c>
      <c r="D86">
        <v>228057436.59200001</v>
      </c>
      <c r="E86">
        <v>227436533.611</v>
      </c>
      <c r="F86">
        <v>227399088.41299999</v>
      </c>
      <c r="G86">
        <v>227554001.88299999</v>
      </c>
      <c r="H86">
        <v>223669358.24599999</v>
      </c>
      <c r="I86">
        <v>222680984.09200001</v>
      </c>
      <c r="J86">
        <v>219537114.442</v>
      </c>
      <c r="K86">
        <v>216561022.58199999</v>
      </c>
      <c r="L86">
        <v>213802606.44999999</v>
      </c>
      <c r="M86">
        <v>209951704.053</v>
      </c>
      <c r="N86">
        <v>209124965.30000001</v>
      </c>
      <c r="O86">
        <v>206697011.46079999</v>
      </c>
      <c r="P86">
        <v>204431132.06920001</v>
      </c>
      <c r="Q86">
        <v>202214389.9553</v>
      </c>
      <c r="R86">
        <v>198730164.57271001</v>
      </c>
      <c r="S86">
        <v>198746397.02559</v>
      </c>
      <c r="T86">
        <v>197249863.50556001</v>
      </c>
      <c r="U86">
        <v>195519120.2112</v>
      </c>
      <c r="V86">
        <v>193559865.74375999</v>
      </c>
      <c r="W86">
        <v>190181834.89308</v>
      </c>
      <c r="X86">
        <v>189183363.0372</v>
      </c>
      <c r="Y86">
        <v>186832460.06213</v>
      </c>
      <c r="Z86">
        <v>184415712.47830001</v>
      </c>
      <c r="AA86">
        <v>181939620.41637</v>
      </c>
      <c r="AB86">
        <v>178067528.08829001</v>
      </c>
      <c r="AC86">
        <v>176866820.2872</v>
      </c>
      <c r="AD86">
        <v>174278974.02982</v>
      </c>
      <c r="AE86">
        <v>171683522.97391999</v>
      </c>
      <c r="AF86">
        <v>169092841.73951</v>
      </c>
      <c r="AG86">
        <v>165156975.05276</v>
      </c>
      <c r="AH86">
        <v>163965732.71318001</v>
      </c>
      <c r="AK86" s="3" t="str">
        <f ca="1">INDIRECT(ADDRESS(86,2))</f>
        <v>Space Heating</v>
      </c>
      <c r="AL86" s="3">
        <f ca="1">INDIRECT(ADDRESS(86,3))</f>
        <v>228596226.74200001</v>
      </c>
      <c r="AM86" s="4">
        <f ca="1">IFERROR(INDIRECT(ADDRESS(86,3)) / INDIRECT(ADDRESS(89,3)),0)</f>
        <v>0.10433681557752579</v>
      </c>
      <c r="AN86" s="3">
        <f ca="1">INDIRECT(ADDRESS(86,9))</f>
        <v>222680984.09200001</v>
      </c>
      <c r="AO86" s="4">
        <f ca="1">IFERROR(INDIRECT(ADDRESS(86,9)) / INDIRECT(ADDRESS(89,9)),0)</f>
        <v>0.10646705203173712</v>
      </c>
      <c r="AP86" s="4">
        <f ca="1">IFERROR((INDIRECT(ADDRESS(86,9)) - INDIRECT(ADDRESS(86,3)))/ INDIRECT(ADDRESS(86,3)),1)</f>
        <v>-2.5876379213713406E-2</v>
      </c>
      <c r="AQ86" s="3">
        <f ca="1">INDIRECT(ADDRESS(86,14))</f>
        <v>209124965.30000001</v>
      </c>
      <c r="AR86" s="4">
        <f ca="1">IFERROR(INDIRECT(ADDRESS(86,14)) / INDIRECT(ADDRESS(89,14)),0)</f>
        <v>0.10962051800334477</v>
      </c>
      <c r="AS86" s="4">
        <f ca="1">IFERROR((INDIRECT(ADDRESS(86,14)) - INDIRECT(ADDRESS(86,3)))/ INDIRECT(ADDRESS(86,3)),1)</f>
        <v>-8.5177527728731078E-2</v>
      </c>
      <c r="AT86" s="3">
        <f ca="1">INDIRECT(ADDRESS(86,19))</f>
        <v>198746397.02559</v>
      </c>
      <c r="AU86" s="4">
        <f ca="1">IFERROR(INDIRECT(ADDRESS(86,19)) / INDIRECT(ADDRESS(89,19)),0)</f>
        <v>0.10801076454828205</v>
      </c>
      <c r="AV86" s="4">
        <f ca="1">IFERROR((INDIRECT(ADDRESS(86,19)) - INDIRECT(ADDRESS(86,3)))/ INDIRECT(ADDRESS(86,3)),1)</f>
        <v>-0.13057883825046399</v>
      </c>
      <c r="AW86" s="3">
        <f ca="1">INDIRECT(ADDRESS(86,24))</f>
        <v>189183363.0372</v>
      </c>
      <c r="AX86" s="4">
        <f ca="1">IFERROR(INDIRECT(ADDRESS(86,24)) / INDIRECT(ADDRESS(89,24)),0)</f>
        <v>0.10637823945329468</v>
      </c>
      <c r="AY86" s="4">
        <f ca="1">IFERROR((INDIRECT(ADDRESS(86,24)) - INDIRECT(ADDRESS(86,3)))/ INDIRECT(ADDRESS(86,3)),1)</f>
        <v>-0.17241257332424148</v>
      </c>
      <c r="AZ86" s="3">
        <f ca="1">INDIRECT(ADDRESS(86,29))</f>
        <v>176866820.2872</v>
      </c>
      <c r="BA86" s="4">
        <f ca="1">IFERROR(INDIRECT(ADDRESS(86,29)) / INDIRECT(ADDRESS(89,29)),0)</f>
        <v>0.10358619860319306</v>
      </c>
      <c r="BB86" s="4">
        <f ca="1">IFERROR((INDIRECT(ADDRESS(86,29)) - INDIRECT(ADDRESS(86,3)))/ INDIRECT(ADDRESS(86,3)),1)</f>
        <v>-0.22629160241206972</v>
      </c>
      <c r="BC86" s="3">
        <f ca="1">INDIRECT(ADDRESS(86,34))</f>
        <v>163965732.71318001</v>
      </c>
      <c r="BD86" s="4">
        <f ca="1">IFERROR(INDIRECT(ADDRESS(86,34)) / INDIRECT(ADDRESS(89,34)),0)</f>
        <v>9.783182951083709E-2</v>
      </c>
      <c r="BE86" s="4">
        <f ca="1">IFERROR((INDIRECT(ADDRESS(86,34)) - INDIRECT(ADDRESS(86,3)))/ INDIRECT(ADDRESS(86,3)),1)</f>
        <v>-0.28272773767943143</v>
      </c>
    </row>
    <row r="87" spans="1:57" x14ac:dyDescent="0.25">
      <c r="A87" s="5"/>
      <c r="B87" s="1" t="s">
        <v>28</v>
      </c>
      <c r="C87">
        <v>590226101.63999999</v>
      </c>
      <c r="D87">
        <v>581199655.44000006</v>
      </c>
      <c r="E87">
        <v>578731560.07300007</v>
      </c>
      <c r="F87">
        <v>572683278.39600003</v>
      </c>
      <c r="G87">
        <v>567630250.31799996</v>
      </c>
      <c r="H87">
        <v>557303235.352</v>
      </c>
      <c r="I87">
        <v>534057144.38</v>
      </c>
      <c r="J87">
        <v>518615508.41000003</v>
      </c>
      <c r="K87">
        <v>500854726.32999998</v>
      </c>
      <c r="L87">
        <v>481734172.36000001</v>
      </c>
      <c r="M87">
        <v>463012681.39999998</v>
      </c>
      <c r="N87">
        <v>447582770.31999999</v>
      </c>
      <c r="O87">
        <v>435016186.33999997</v>
      </c>
      <c r="P87">
        <v>424876547.37</v>
      </c>
      <c r="Q87">
        <v>415869404.41000003</v>
      </c>
      <c r="R87">
        <v>404114909.32999998</v>
      </c>
      <c r="S87">
        <v>395269222.35000002</v>
      </c>
      <c r="T87">
        <v>385284649.38999999</v>
      </c>
      <c r="U87">
        <v>374856527.31999999</v>
      </c>
      <c r="V87">
        <v>364612629.33999997</v>
      </c>
      <c r="W87">
        <v>355071532.33999997</v>
      </c>
      <c r="X87">
        <v>346436958.33999997</v>
      </c>
      <c r="Y87">
        <v>337984548.33999997</v>
      </c>
      <c r="Z87">
        <v>330147068.33999997</v>
      </c>
      <c r="AA87">
        <v>323138638.33999997</v>
      </c>
      <c r="AB87">
        <v>317046638.33999997</v>
      </c>
      <c r="AC87">
        <v>311839818.33999997</v>
      </c>
      <c r="AD87">
        <v>307500488.33999997</v>
      </c>
      <c r="AE87">
        <v>303935628.33999997</v>
      </c>
      <c r="AF87">
        <v>301043418.33999997</v>
      </c>
      <c r="AG87">
        <v>298683908.33999997</v>
      </c>
      <c r="AH87">
        <v>296662438.33999997</v>
      </c>
      <c r="AK87" s="3" t="str">
        <f ca="1">INDIRECT(ADDRESS(87,2))</f>
        <v>Transportation</v>
      </c>
      <c r="AL87" s="3">
        <f ca="1">INDIRECT(ADDRESS(87,3))</f>
        <v>590226101.63999999</v>
      </c>
      <c r="AM87" s="4">
        <f ca="1">IFERROR(INDIRECT(ADDRESS(87,3)) / INDIRECT(ADDRESS(89,3)),0)</f>
        <v>0.26939338760546633</v>
      </c>
      <c r="AN87" s="3">
        <f ca="1">INDIRECT(ADDRESS(87,9))</f>
        <v>534057144.38</v>
      </c>
      <c r="AO87" s="4">
        <f ca="1">IFERROR(INDIRECT(ADDRESS(87,9)) / INDIRECT(ADDRESS(89,9)),0)</f>
        <v>0.25534057167241125</v>
      </c>
      <c r="AP87" s="4">
        <f ca="1">IFERROR((INDIRECT(ADDRESS(87,9)) - INDIRECT(ADDRESS(87,3)))/ INDIRECT(ADDRESS(87,3)),1)</f>
        <v>-9.5165152987862003E-2</v>
      </c>
      <c r="AQ87" s="3">
        <f ca="1">INDIRECT(ADDRESS(87,14))</f>
        <v>447582770.31999999</v>
      </c>
      <c r="AR87" s="4">
        <f ca="1">IFERROR(INDIRECT(ADDRESS(87,14)) / INDIRECT(ADDRESS(89,14)),0)</f>
        <v>0.23461691941689222</v>
      </c>
      <c r="AS87" s="4">
        <f ca="1">IFERROR((INDIRECT(ADDRESS(87,14)) - INDIRECT(ADDRESS(87,3)))/ INDIRECT(ADDRESS(87,3)),1)</f>
        <v>-0.2416757424377739</v>
      </c>
      <c r="AT87" s="3">
        <f ca="1">INDIRECT(ADDRESS(87,19))</f>
        <v>395269222.35000002</v>
      </c>
      <c r="AU87" s="4">
        <f ca="1">IFERROR(INDIRECT(ADDRESS(87,19)) / INDIRECT(ADDRESS(89,19)),0)</f>
        <v>0.21481310628706055</v>
      </c>
      <c r="AV87" s="4">
        <f ca="1">IFERROR((INDIRECT(ADDRESS(87,19)) - INDIRECT(ADDRESS(87,3)))/ INDIRECT(ADDRESS(87,3)),1)</f>
        <v>-0.33030880665611623</v>
      </c>
      <c r="AW87" s="3">
        <f ca="1">INDIRECT(ADDRESS(87,24))</f>
        <v>346436958.33999997</v>
      </c>
      <c r="AX87" s="4">
        <f ca="1">IFERROR(INDIRECT(ADDRESS(87,24)) / INDIRECT(ADDRESS(89,24)),0)</f>
        <v>0.19480229718993283</v>
      </c>
      <c r="AY87" s="4">
        <f ca="1">IFERROR((INDIRECT(ADDRESS(87,24)) - INDIRECT(ADDRESS(87,3)))/ INDIRECT(ADDRESS(87,3)),1)</f>
        <v>-0.41304364992095138</v>
      </c>
      <c r="AZ87" s="3">
        <f ca="1">INDIRECT(ADDRESS(87,29))</f>
        <v>311839818.33999997</v>
      </c>
      <c r="BA87" s="4">
        <f ca="1">IFERROR(INDIRECT(ADDRESS(87,29)) / INDIRECT(ADDRESS(89,29)),0)</f>
        <v>0.18263629833169237</v>
      </c>
      <c r="BB87" s="4">
        <f ca="1">IFERROR((INDIRECT(ADDRESS(87,29)) - INDIRECT(ADDRESS(87,3)))/ INDIRECT(ADDRESS(87,3)),1)</f>
        <v>-0.47166040696349576</v>
      </c>
      <c r="BC87" s="3">
        <f ca="1">INDIRECT(ADDRESS(87,34))</f>
        <v>296662438.33999997</v>
      </c>
      <c r="BD87" s="4">
        <f ca="1">IFERROR(INDIRECT(ADDRESS(87,34)) / INDIRECT(ADDRESS(89,34)),0)</f>
        <v>0.17700667456362454</v>
      </c>
      <c r="BE87" s="4">
        <f ca="1">IFERROR((INDIRECT(ADDRESS(87,34)) - INDIRECT(ADDRESS(87,3)))/ INDIRECT(ADDRESS(87,3)),1)</f>
        <v>-0.49737492544688405</v>
      </c>
    </row>
    <row r="88" spans="1:57" x14ac:dyDescent="0.25">
      <c r="A88" s="5"/>
      <c r="B88" s="1" t="s">
        <v>89</v>
      </c>
      <c r="C88">
        <v>71613249.542799994</v>
      </c>
      <c r="D88">
        <v>71778356.482800007</v>
      </c>
      <c r="E88">
        <v>71999027.222800002</v>
      </c>
      <c r="F88">
        <v>72309843.412799999</v>
      </c>
      <c r="G88">
        <v>72579115.142800003</v>
      </c>
      <c r="H88">
        <v>72814580.1928</v>
      </c>
      <c r="I88">
        <v>72927767.330799997</v>
      </c>
      <c r="J88">
        <v>72892331.673800007</v>
      </c>
      <c r="K88">
        <v>72813375.577800006</v>
      </c>
      <c r="L88">
        <v>72691722.748799995</v>
      </c>
      <c r="M88">
        <v>72307490.539800003</v>
      </c>
      <c r="N88">
        <v>71799146.318800002</v>
      </c>
      <c r="O88">
        <v>71221352.852799997</v>
      </c>
      <c r="P88">
        <v>70599194.211799994</v>
      </c>
      <c r="Q88">
        <v>69945877.652799994</v>
      </c>
      <c r="R88">
        <v>69271421.528799996</v>
      </c>
      <c r="S88">
        <v>68706289.954799995</v>
      </c>
      <c r="T88">
        <v>68182372.865800008</v>
      </c>
      <c r="U88">
        <v>67710523.838799998</v>
      </c>
      <c r="V88">
        <v>67279835.766800001</v>
      </c>
      <c r="W88">
        <v>66890499.888800003</v>
      </c>
      <c r="X88">
        <v>66556984.627800003</v>
      </c>
      <c r="Y88">
        <v>66254616.329800002</v>
      </c>
      <c r="Z88">
        <v>66021240.751800001</v>
      </c>
      <c r="AA88">
        <v>65863296.867799997</v>
      </c>
      <c r="AB88">
        <v>65779919.603799999</v>
      </c>
      <c r="AC88">
        <v>65761694.099799998</v>
      </c>
      <c r="AD88">
        <v>65766674.211800002</v>
      </c>
      <c r="AE88">
        <v>65800295.974799998</v>
      </c>
      <c r="AF88">
        <v>65847796.443800002</v>
      </c>
      <c r="AG88">
        <v>65900479.863799997</v>
      </c>
      <c r="AH88">
        <v>65955036.014799997</v>
      </c>
      <c r="AK88" s="3" t="str">
        <f ca="1">INDIRECT(ADDRESS(88,2))</f>
        <v>Water Heating</v>
      </c>
      <c r="AL88" s="3">
        <f ca="1">INDIRECT(ADDRESS(88,3))</f>
        <v>71613249.542799994</v>
      </c>
      <c r="AM88" s="4">
        <f ca="1">IFERROR(INDIRECT(ADDRESS(88,3)) / INDIRECT(ADDRESS(89,3)),0)</f>
        <v>3.2686009375331671E-2</v>
      </c>
      <c r="AN88" s="3">
        <f ca="1">INDIRECT(ADDRESS(88,9))</f>
        <v>72927767.330799997</v>
      </c>
      <c r="AO88" s="4">
        <f ca="1">IFERROR(INDIRECT(ADDRESS(88,9)) / INDIRECT(ADDRESS(89,9)),0)</f>
        <v>3.4867837640590184E-2</v>
      </c>
      <c r="AP88" s="4">
        <f ca="1">IFERROR((INDIRECT(ADDRESS(88,9)) - INDIRECT(ADDRESS(88,3)))/ INDIRECT(ADDRESS(88,3)),1)</f>
        <v>1.8355790253790603E-2</v>
      </c>
      <c r="AQ88" s="3">
        <f ca="1">INDIRECT(ADDRESS(88,14))</f>
        <v>71799146.318800002</v>
      </c>
      <c r="AR88" s="4">
        <f ca="1">IFERROR(INDIRECT(ADDRESS(88,14)) / INDIRECT(ADDRESS(89,14)),0)</f>
        <v>3.7636155015609705E-2</v>
      </c>
      <c r="AS88" s="4">
        <f ca="1">IFERROR((INDIRECT(ADDRESS(88,14)) - INDIRECT(ADDRESS(88,3)))/ INDIRECT(ADDRESS(88,3)),1)</f>
        <v>2.5958433276918385E-3</v>
      </c>
      <c r="AT88" s="3">
        <f ca="1">INDIRECT(ADDRESS(88,19))</f>
        <v>68706289.954799995</v>
      </c>
      <c r="AU88" s="4">
        <f ca="1">IFERROR(INDIRECT(ADDRESS(88,19)) / INDIRECT(ADDRESS(89,19)),0)</f>
        <v>3.7339136801249229E-2</v>
      </c>
      <c r="AV88" s="4">
        <f ca="1">IFERROR((INDIRECT(ADDRESS(88,19)) - INDIRECT(ADDRESS(88,3)))/ INDIRECT(ADDRESS(88,3)),1)</f>
        <v>-4.0592482627989694E-2</v>
      </c>
      <c r="AW88" s="3">
        <f ca="1">INDIRECT(ADDRESS(88,24))</f>
        <v>66556984.627800003</v>
      </c>
      <c r="AX88" s="4">
        <f ca="1">IFERROR(INDIRECT(ADDRESS(88,24)) / INDIRECT(ADDRESS(89,24)),0)</f>
        <v>3.7425145289510187E-2</v>
      </c>
      <c r="AY88" s="4">
        <f ca="1">IFERROR((INDIRECT(ADDRESS(88,24)) - INDIRECT(ADDRESS(88,3)))/ INDIRECT(ADDRESS(88,3)),1)</f>
        <v>-7.060515962172742E-2</v>
      </c>
      <c r="AZ88" s="3">
        <f ca="1">INDIRECT(ADDRESS(88,29))</f>
        <v>65761694.099799998</v>
      </c>
      <c r="BA88" s="4">
        <f ca="1">IFERROR(INDIRECT(ADDRESS(88,29)) / INDIRECT(ADDRESS(89,29)),0)</f>
        <v>3.8514877434008478E-2</v>
      </c>
      <c r="BB88" s="4">
        <f ca="1">IFERROR((INDIRECT(ADDRESS(88,29)) - INDIRECT(ADDRESS(88,3)))/ INDIRECT(ADDRESS(88,3)),1)</f>
        <v>-8.1710514190572889E-2</v>
      </c>
      <c r="BC88" s="3">
        <f ca="1">INDIRECT(ADDRESS(88,34))</f>
        <v>65955036.014799997</v>
      </c>
      <c r="BD88" s="4">
        <f ca="1">IFERROR(INDIRECT(ADDRESS(88,34)) / INDIRECT(ADDRESS(89,34)),0)</f>
        <v>3.9352746040346054E-2</v>
      </c>
      <c r="BE88" s="4">
        <f ca="1">IFERROR((INDIRECT(ADDRESS(88,34)) - INDIRECT(ADDRESS(88,3)))/ INDIRECT(ADDRESS(88,3)),1)</f>
        <v>-7.9010707712939901E-2</v>
      </c>
    </row>
    <row r="89" spans="1:57" x14ac:dyDescent="0.25">
      <c r="A89" s="1" t="s">
        <v>21</v>
      </c>
      <c r="B89" s="1"/>
      <c r="C89">
        <v>2190945022.3937998</v>
      </c>
      <c r="D89">
        <v>2180636661.7838001</v>
      </c>
      <c r="E89">
        <v>2179056878.5458002</v>
      </c>
      <c r="F89">
        <v>2174794566.3778</v>
      </c>
      <c r="G89">
        <v>2171697413.8518</v>
      </c>
      <c r="H89">
        <v>2159103427.4298</v>
      </c>
      <c r="I89">
        <v>2091548322.6268001</v>
      </c>
      <c r="J89">
        <v>2072983646.3608</v>
      </c>
      <c r="K89">
        <v>2052231607.6027999</v>
      </c>
      <c r="L89">
        <v>2030295404.5838001</v>
      </c>
      <c r="M89">
        <v>2007466139.0548</v>
      </c>
      <c r="N89">
        <v>1907717360.8468001</v>
      </c>
      <c r="O89">
        <v>1891738719.8676</v>
      </c>
      <c r="P89">
        <v>1878303284.95</v>
      </c>
      <c r="Q89">
        <v>1866019052.2890999</v>
      </c>
      <c r="R89">
        <v>1849700495.7165101</v>
      </c>
      <c r="S89">
        <v>1840061014.8143899</v>
      </c>
      <c r="T89">
        <v>1827958293.2783599</v>
      </c>
      <c r="U89">
        <v>1815183805.003</v>
      </c>
      <c r="V89">
        <v>1802302415.96556</v>
      </c>
      <c r="W89">
        <v>1788660528.3218801</v>
      </c>
      <c r="X89">
        <v>1778402838.865</v>
      </c>
      <c r="Y89">
        <v>1766766500.7379301</v>
      </c>
      <c r="Z89">
        <v>1755747733.7311001</v>
      </c>
      <c r="AA89">
        <v>1745574276.56617</v>
      </c>
      <c r="AB89">
        <v>1734996016.85709</v>
      </c>
      <c r="AC89">
        <v>1707436151.4579999</v>
      </c>
      <c r="AD89">
        <v>1699799398.1256199</v>
      </c>
      <c r="AE89">
        <v>1692959379.31372</v>
      </c>
      <c r="AF89">
        <v>1686811462.27631</v>
      </c>
      <c r="AG89">
        <v>1679856497.23756</v>
      </c>
      <c r="AH89">
        <v>1675995772.8789799</v>
      </c>
    </row>
    <row r="90" spans="1:57" x14ac:dyDescent="0.25">
      <c r="A90" s="5" t="s">
        <v>4</v>
      </c>
      <c r="B90" s="1" t="s">
        <v>24</v>
      </c>
      <c r="C90">
        <v>653072660.62</v>
      </c>
      <c r="D90">
        <v>653072650.62</v>
      </c>
      <c r="E90">
        <v>653072660.81999993</v>
      </c>
      <c r="F90">
        <v>653072660.72000003</v>
      </c>
      <c r="G90">
        <v>653072660.62</v>
      </c>
      <c r="H90">
        <v>653072660.72000003</v>
      </c>
      <c r="I90">
        <v>653072650.62</v>
      </c>
      <c r="J90">
        <v>653072660.81999993</v>
      </c>
      <c r="K90">
        <v>653072650.62</v>
      </c>
      <c r="L90">
        <v>653072660.62</v>
      </c>
      <c r="M90">
        <v>653072650.61000001</v>
      </c>
      <c r="N90">
        <v>653072660.81999993</v>
      </c>
      <c r="O90">
        <v>653072660.62</v>
      </c>
      <c r="P90">
        <v>653072660.72000003</v>
      </c>
      <c r="Q90">
        <v>653072660.81999993</v>
      </c>
      <c r="R90">
        <v>653072660.62</v>
      </c>
      <c r="S90">
        <v>653072650.61000001</v>
      </c>
      <c r="T90">
        <v>653072660.62</v>
      </c>
      <c r="U90">
        <v>653072660.72000003</v>
      </c>
      <c r="V90">
        <v>653072650.62</v>
      </c>
      <c r="W90">
        <v>653072660.72000003</v>
      </c>
      <c r="X90">
        <v>653072660.81999993</v>
      </c>
      <c r="Y90">
        <v>653072650.62</v>
      </c>
      <c r="Z90">
        <v>653072660.81999993</v>
      </c>
      <c r="AA90">
        <v>653072660.62</v>
      </c>
      <c r="AB90">
        <v>653072660.81999993</v>
      </c>
      <c r="AC90">
        <v>653072660.72000003</v>
      </c>
      <c r="AD90">
        <v>653072660.81999993</v>
      </c>
      <c r="AE90">
        <v>653072660.81999993</v>
      </c>
      <c r="AF90">
        <v>653072680.82999992</v>
      </c>
      <c r="AG90">
        <v>653072660.81999993</v>
      </c>
      <c r="AH90">
        <v>653072660.81999993</v>
      </c>
      <c r="AK90" s="3" t="str">
        <f ca="1">INDIRECT(ADDRESS(90,2))</f>
        <v>Energy Production</v>
      </c>
      <c r="AL90" s="3">
        <f ca="1">INDIRECT(ADDRESS(90,3))</f>
        <v>653072660.62</v>
      </c>
      <c r="AM90" s="4">
        <f ca="1">IFERROR(INDIRECT(ADDRESS(90,3)) / INDIRECT(ADDRESS(99,3)),0)</f>
        <v>0.29807806857082192</v>
      </c>
      <c r="AN90" s="3">
        <f ca="1">INDIRECT(ADDRESS(90,9))</f>
        <v>653072650.62</v>
      </c>
      <c r="AO90" s="4">
        <f ca="1">IFERROR(INDIRECT(ADDRESS(90,9)) / INDIRECT(ADDRESS(99,9)),0)</f>
        <v>0.3009392275205256</v>
      </c>
      <c r="AP90" s="4">
        <f ca="1">IFERROR((INDIRECT(ADDRESS(90,9)) - INDIRECT(ADDRESS(90,3)))/ INDIRECT(ADDRESS(90,3)),1)</f>
        <v>-1.5312231858712958E-8</v>
      </c>
      <c r="AQ90" s="3">
        <f ca="1">INDIRECT(ADDRESS(90,14))</f>
        <v>653072660.81999993</v>
      </c>
      <c r="AR90" s="4">
        <f ca="1">IFERROR(INDIRECT(ADDRESS(90,14)) / INDIRECT(ADDRESS(99,14)),0)</f>
        <v>0.306775611303583</v>
      </c>
      <c r="AS90" s="4">
        <f ca="1">IFERROR((INDIRECT(ADDRESS(90,14)) - INDIRECT(ADDRESS(90,3)))/ INDIRECT(ADDRESS(90,3)),1)</f>
        <v>3.062445276526423E-10</v>
      </c>
      <c r="AT90" s="3">
        <f ca="1">INDIRECT(ADDRESS(90,19))</f>
        <v>653072650.61000001</v>
      </c>
      <c r="AU90" s="4">
        <f ca="1">IFERROR(INDIRECT(ADDRESS(90,19)) / INDIRECT(ADDRESS(99,19)),0)</f>
        <v>0.30661315685892904</v>
      </c>
      <c r="AV90" s="4">
        <f ca="1">IFERROR((INDIRECT(ADDRESS(90,19)) - INDIRECT(ADDRESS(90,3)))/ INDIRECT(ADDRESS(90,3)),1)</f>
        <v>-1.532754407596879E-8</v>
      </c>
      <c r="AW90" s="3">
        <f ca="1">INDIRECT(ADDRESS(90,24))</f>
        <v>653072660.81999993</v>
      </c>
      <c r="AX90" s="4">
        <f ca="1">IFERROR(INDIRECT(ADDRESS(90,24)) / INDIRECT(ADDRESS(99,24)),0)</f>
        <v>0.30548178852572772</v>
      </c>
      <c r="AY90" s="4">
        <f ca="1">IFERROR((INDIRECT(ADDRESS(90,24)) - INDIRECT(ADDRESS(90,3)))/ INDIRECT(ADDRESS(90,3)),1)</f>
        <v>3.062445276526423E-10</v>
      </c>
      <c r="AZ90" s="3">
        <f ca="1">INDIRECT(ADDRESS(90,29))</f>
        <v>653072660.72000003</v>
      </c>
      <c r="BA90" s="4">
        <f ca="1">IFERROR(INDIRECT(ADDRESS(90,29)) / INDIRECT(ADDRESS(99,29)),0)</f>
        <v>0.3043173105638684</v>
      </c>
      <c r="BB90" s="4">
        <f ca="1">IFERROR((INDIRECT(ADDRESS(90,29)) - INDIRECT(ADDRESS(90,3)))/ INDIRECT(ADDRESS(90,3)),1)</f>
        <v>1.5312235509433522E-10</v>
      </c>
      <c r="BC90" s="3">
        <f ca="1">INDIRECT(ADDRESS(90,34))</f>
        <v>653072660.81999993</v>
      </c>
      <c r="BD90" s="4">
        <f ca="1">IFERROR(INDIRECT(ADDRESS(90,34)) / INDIRECT(ADDRESS(99,34)),0)</f>
        <v>0.30259996450048093</v>
      </c>
      <c r="BE90" s="4">
        <f ca="1">IFERROR((INDIRECT(ADDRESS(90,34)) - INDIRECT(ADDRESS(90,3)))/ INDIRECT(ADDRESS(90,3)),1)</f>
        <v>3.062445276526423E-10</v>
      </c>
    </row>
    <row r="91" spans="1:57" x14ac:dyDescent="0.25">
      <c r="A91" s="5"/>
      <c r="B91" s="1" t="s">
        <v>83</v>
      </c>
      <c r="C91">
        <v>452108148.43599999</v>
      </c>
      <c r="D91">
        <v>452108143.62599999</v>
      </c>
      <c r="E91">
        <v>452108143.68599999</v>
      </c>
      <c r="F91">
        <v>452108140.926</v>
      </c>
      <c r="G91">
        <v>452108147.43599999</v>
      </c>
      <c r="H91">
        <v>452108144.85600001</v>
      </c>
      <c r="I91">
        <v>452108145.28600001</v>
      </c>
      <c r="J91">
        <v>452273333.66500002</v>
      </c>
      <c r="K91">
        <v>452438534.75300002</v>
      </c>
      <c r="L91">
        <v>452603729.16100001</v>
      </c>
      <c r="M91">
        <v>452768931.97000003</v>
      </c>
      <c r="N91">
        <v>452934121.18800002</v>
      </c>
      <c r="O91">
        <v>453319582.66500002</v>
      </c>
      <c r="P91">
        <v>453705031.84100002</v>
      </c>
      <c r="Q91">
        <v>454090495.83700001</v>
      </c>
      <c r="R91">
        <v>454475953.17400002</v>
      </c>
      <c r="S91">
        <v>454861418.57999998</v>
      </c>
      <c r="T91">
        <v>455480896.01899999</v>
      </c>
      <c r="U91">
        <v>456100392.648</v>
      </c>
      <c r="V91">
        <v>456719881.597</v>
      </c>
      <c r="W91">
        <v>457339369.88700002</v>
      </c>
      <c r="X91">
        <v>457958848.486</v>
      </c>
      <c r="Y91">
        <v>458296124.63999999</v>
      </c>
      <c r="Z91">
        <v>458633401.40399998</v>
      </c>
      <c r="AA91">
        <v>458970687.76899999</v>
      </c>
      <c r="AB91">
        <v>459307956.713</v>
      </c>
      <c r="AC91">
        <v>459645224.14700001</v>
      </c>
      <c r="AD91">
        <v>459776017.95899999</v>
      </c>
      <c r="AE91">
        <v>459906793.32999998</v>
      </c>
      <c r="AF91">
        <v>460037577.31099999</v>
      </c>
      <c r="AG91">
        <v>460168363.88200003</v>
      </c>
      <c r="AH91">
        <v>460299129.75400001</v>
      </c>
      <c r="AK91" s="3" t="str">
        <f ca="1">INDIRECT(ADDRESS(91,2))</f>
        <v>Industrial Processes</v>
      </c>
      <c r="AL91" s="3">
        <f ca="1">INDIRECT(ADDRESS(91,3))</f>
        <v>452108148.43599999</v>
      </c>
      <c r="AM91" s="4">
        <f ca="1">IFERROR(INDIRECT(ADDRESS(91,3)) / INDIRECT(ADDRESS(99,3)),0)</f>
        <v>0.20635303205464833</v>
      </c>
      <c r="AN91" s="3">
        <f ca="1">INDIRECT(ADDRESS(91,9))</f>
        <v>452108145.28600001</v>
      </c>
      <c r="AO91" s="4">
        <f ca="1">IFERROR(INDIRECT(ADDRESS(91,9)) / INDIRECT(ADDRESS(99,9)),0)</f>
        <v>0.20833375256020825</v>
      </c>
      <c r="AP91" s="4">
        <f ca="1">IFERROR((INDIRECT(ADDRESS(91,9)) - INDIRECT(ADDRESS(91,3)))/ INDIRECT(ADDRESS(91,3)),1)</f>
        <v>-6.9673594405566282E-9</v>
      </c>
      <c r="AQ91" s="3">
        <f ca="1">INDIRECT(ADDRESS(91,14))</f>
        <v>452934121.18800002</v>
      </c>
      <c r="AR91" s="4">
        <f ca="1">IFERROR(INDIRECT(ADDRESS(91,14)) / INDIRECT(ADDRESS(99,14)),0)</f>
        <v>0.21276214768083374</v>
      </c>
      <c r="AS91" s="4">
        <f ca="1">IFERROR((INDIRECT(ADDRESS(91,14)) - INDIRECT(ADDRESS(91,3)))/ INDIRECT(ADDRESS(91,3)),1)</f>
        <v>1.8269362205865171E-3</v>
      </c>
      <c r="AT91" s="3">
        <f ca="1">INDIRECT(ADDRESS(91,19))</f>
        <v>454861418.57999998</v>
      </c>
      <c r="AU91" s="4">
        <f ca="1">IFERROR(INDIRECT(ADDRESS(91,19)) / INDIRECT(ADDRESS(99,19)),0)</f>
        <v>0.21355433481079994</v>
      </c>
      <c r="AV91" s="4">
        <f ca="1">IFERROR((INDIRECT(ADDRESS(91,19)) - INDIRECT(ADDRESS(91,3)))/ INDIRECT(ADDRESS(91,3)),1)</f>
        <v>6.0898485318712278E-3</v>
      </c>
      <c r="AW91" s="3">
        <f ca="1">INDIRECT(ADDRESS(91,24))</f>
        <v>457958848.486</v>
      </c>
      <c r="AX91" s="4">
        <f ca="1">IFERROR(INDIRECT(ADDRESS(91,24)) / INDIRECT(ADDRESS(99,24)),0)</f>
        <v>0.21421519610242079</v>
      </c>
      <c r="AY91" s="4">
        <f ca="1">IFERROR((INDIRECT(ADDRESS(91,24)) - INDIRECT(ADDRESS(91,3)))/ INDIRECT(ADDRESS(91,3)),1)</f>
        <v>1.294093032881541E-2</v>
      </c>
      <c r="AZ91" s="3">
        <f ca="1">INDIRECT(ADDRESS(91,29))</f>
        <v>459645224.14700001</v>
      </c>
      <c r="BA91" s="4">
        <f ca="1">IFERROR(INDIRECT(ADDRESS(91,29)) / INDIRECT(ADDRESS(99,29)),0)</f>
        <v>0.21418443435027382</v>
      </c>
      <c r="BB91" s="4">
        <f ca="1">IFERROR((INDIRECT(ADDRESS(91,29)) - INDIRECT(ADDRESS(91,3)))/ INDIRECT(ADDRESS(91,3)),1)</f>
        <v>1.6670957462442123E-2</v>
      </c>
      <c r="BC91" s="3">
        <f ca="1">INDIRECT(ADDRESS(91,34))</f>
        <v>460299129.75400001</v>
      </c>
      <c r="BD91" s="4">
        <f ca="1">IFERROR(INDIRECT(ADDRESS(91,34)) / INDIRECT(ADDRESS(99,34)),0)</f>
        <v>0.213278718708381</v>
      </c>
      <c r="BE91" s="4">
        <f ca="1">IFERROR((INDIRECT(ADDRESS(91,34)) - INDIRECT(ADDRESS(91,3)))/ INDIRECT(ADDRESS(91,3)),1)</f>
        <v>1.8117305220743056E-2</v>
      </c>
    </row>
    <row r="92" spans="1:57" x14ac:dyDescent="0.25">
      <c r="A92" s="5"/>
      <c r="B92" s="1" t="s">
        <v>84</v>
      </c>
      <c r="C92">
        <v>47932011.942000002</v>
      </c>
      <c r="D92">
        <v>47936431.257999986</v>
      </c>
      <c r="E92">
        <v>48356285.435999997</v>
      </c>
      <c r="F92">
        <v>48781897.943999998</v>
      </c>
      <c r="G92">
        <v>49207998.939999998</v>
      </c>
      <c r="H92">
        <v>49634257.531000003</v>
      </c>
      <c r="I92">
        <v>50060517.737999998</v>
      </c>
      <c r="J92">
        <v>50132412.582000002</v>
      </c>
      <c r="K92">
        <v>50205547.564999998</v>
      </c>
      <c r="L92">
        <v>50279926.042000003</v>
      </c>
      <c r="M92">
        <v>50355445.825000003</v>
      </c>
      <c r="N92">
        <v>50432103.501999997</v>
      </c>
      <c r="O92">
        <v>50447396.031000003</v>
      </c>
      <c r="P92">
        <v>50462682.996999986</v>
      </c>
      <c r="Q92">
        <v>50477970.343000002</v>
      </c>
      <c r="R92">
        <v>50493250.704000004</v>
      </c>
      <c r="S92">
        <v>50508540.668000013</v>
      </c>
      <c r="T92">
        <v>50497128.102000013</v>
      </c>
      <c r="U92">
        <v>50485716.191</v>
      </c>
      <c r="V92">
        <v>50474307.141000003</v>
      </c>
      <c r="W92">
        <v>50462887.943999998</v>
      </c>
      <c r="X92">
        <v>50451479.559</v>
      </c>
      <c r="Y92">
        <v>50485155.445</v>
      </c>
      <c r="Z92">
        <v>50518831.799999997</v>
      </c>
      <c r="AA92">
        <v>50552509.642999999</v>
      </c>
      <c r="AB92">
        <v>50586225.934</v>
      </c>
      <c r="AC92">
        <v>50620786.788000003</v>
      </c>
      <c r="AD92">
        <v>50670700.210000001</v>
      </c>
      <c r="AE92">
        <v>50721658.158</v>
      </c>
      <c r="AF92">
        <v>50773419.424999997</v>
      </c>
      <c r="AG92">
        <v>50825662.159000002</v>
      </c>
      <c r="AH92">
        <v>50878331.114</v>
      </c>
      <c r="AK92" s="3" t="str">
        <f ca="1">INDIRECT(ADDRESS(92,2))</f>
        <v>Lighting</v>
      </c>
      <c r="AL92" s="3">
        <f ca="1">INDIRECT(ADDRESS(92,3))</f>
        <v>47932011.942000002</v>
      </c>
      <c r="AM92" s="4">
        <f ca="1">IFERROR(INDIRECT(ADDRESS(92,3)) / INDIRECT(ADDRESS(99,3)),0)</f>
        <v>2.1877323005407991E-2</v>
      </c>
      <c r="AN92" s="3">
        <f ca="1">INDIRECT(ADDRESS(92,9))</f>
        <v>50060517.737999998</v>
      </c>
      <c r="AO92" s="4">
        <f ca="1">IFERROR(INDIRECT(ADDRESS(92,9)) / INDIRECT(ADDRESS(99,9)),0)</f>
        <v>2.3068143372791741E-2</v>
      </c>
      <c r="AP92" s="4">
        <f ca="1">IFERROR((INDIRECT(ADDRESS(92,9)) - INDIRECT(ADDRESS(92,3)))/ INDIRECT(ADDRESS(92,3)),1)</f>
        <v>4.4406769291795822E-2</v>
      </c>
      <c r="AQ92" s="3">
        <f ca="1">INDIRECT(ADDRESS(92,14))</f>
        <v>50432103.501999997</v>
      </c>
      <c r="AR92" s="4">
        <f ca="1">IFERROR(INDIRECT(ADDRESS(92,14)) / INDIRECT(ADDRESS(99,14)),0)</f>
        <v>2.3690073569648071E-2</v>
      </c>
      <c r="AS92" s="4">
        <f ca="1">IFERROR((INDIRECT(ADDRESS(92,14)) - INDIRECT(ADDRESS(92,3)))/ INDIRECT(ADDRESS(92,3)),1)</f>
        <v>5.2159119943164994E-2</v>
      </c>
      <c r="AT92" s="3">
        <f ca="1">INDIRECT(ADDRESS(92,19))</f>
        <v>50508540.668000013</v>
      </c>
      <c r="AU92" s="4">
        <f ca="1">IFERROR(INDIRECT(ADDRESS(92,19)) / INDIRECT(ADDRESS(99,19)),0)</f>
        <v>2.3713415480020334E-2</v>
      </c>
      <c r="AV92" s="4">
        <f ca="1">IFERROR((INDIRECT(ADDRESS(92,19)) - INDIRECT(ADDRESS(92,3)))/ INDIRECT(ADDRESS(92,3)),1)</f>
        <v>5.375381966268665E-2</v>
      </c>
      <c r="AW92" s="3">
        <f ca="1">INDIRECT(ADDRESS(92,24))</f>
        <v>50451479.559</v>
      </c>
      <c r="AX92" s="4">
        <f ca="1">IFERROR(INDIRECT(ADDRESS(92,24)) / INDIRECT(ADDRESS(99,24)),0)</f>
        <v>2.3599224303925307E-2</v>
      </c>
      <c r="AY92" s="4">
        <f ca="1">IFERROR((INDIRECT(ADDRESS(92,24)) - INDIRECT(ADDRESS(92,3)))/ INDIRECT(ADDRESS(92,3)),1)</f>
        <v>5.2563360370699093E-2</v>
      </c>
      <c r="AZ92" s="3">
        <f ca="1">INDIRECT(ADDRESS(92,29))</f>
        <v>50620786.788000003</v>
      </c>
      <c r="BA92" s="4">
        <f ca="1">IFERROR(INDIRECT(ADDRESS(92,29)) / INDIRECT(ADDRESS(99,29)),0)</f>
        <v>2.3588158899451844E-2</v>
      </c>
      <c r="BB92" s="4">
        <f ca="1">IFERROR((INDIRECT(ADDRESS(92,29)) - INDIRECT(ADDRESS(92,3)))/ INDIRECT(ADDRESS(92,3)),1)</f>
        <v>5.6095597431911379E-2</v>
      </c>
      <c r="BC92" s="3">
        <f ca="1">INDIRECT(ADDRESS(92,34))</f>
        <v>50878331.114</v>
      </c>
      <c r="BD92" s="4">
        <f ca="1">IFERROR(INDIRECT(ADDRESS(92,34)) / INDIRECT(ADDRESS(99,34)),0)</f>
        <v>2.3574377113886727E-2</v>
      </c>
      <c r="BE92" s="4">
        <f ca="1">IFERROR((INDIRECT(ADDRESS(92,34)) - INDIRECT(ADDRESS(92,3)))/ INDIRECT(ADDRESS(92,3)),1)</f>
        <v>6.1468714803066975E-2</v>
      </c>
    </row>
    <row r="93" spans="1:57" x14ac:dyDescent="0.25">
      <c r="A93" s="5"/>
      <c r="B93" s="1" t="s">
        <v>85</v>
      </c>
      <c r="C93">
        <v>25078806.98</v>
      </c>
      <c r="D93">
        <v>25291621.559999999</v>
      </c>
      <c r="E93">
        <v>25462287.379999999</v>
      </c>
      <c r="F93">
        <v>25739900.66</v>
      </c>
      <c r="G93">
        <v>26025511.129999999</v>
      </c>
      <c r="H93">
        <v>26313362.98</v>
      </c>
      <c r="I93">
        <v>26601220.98</v>
      </c>
      <c r="J93">
        <v>26870409.449999999</v>
      </c>
      <c r="K93">
        <v>27141139.149999999</v>
      </c>
      <c r="L93">
        <v>27413338.969999999</v>
      </c>
      <c r="M93">
        <v>27685541.77</v>
      </c>
      <c r="N93">
        <v>27957746.059999999</v>
      </c>
      <c r="O93">
        <v>28211899.010000002</v>
      </c>
      <c r="P93">
        <v>28466057.41</v>
      </c>
      <c r="Q93">
        <v>28720207.649999999</v>
      </c>
      <c r="R93">
        <v>28974361.989999998</v>
      </c>
      <c r="S93">
        <v>29228523.739999998</v>
      </c>
      <c r="T93">
        <v>29454289.940000001</v>
      </c>
      <c r="U93">
        <v>29680065.07</v>
      </c>
      <c r="V93">
        <v>29905839.260000002</v>
      </c>
      <c r="W93">
        <v>30131612.539999999</v>
      </c>
      <c r="X93">
        <v>30357394.91</v>
      </c>
      <c r="Y93">
        <v>30563974.609999999</v>
      </c>
      <c r="Z93">
        <v>30770553.559999999</v>
      </c>
      <c r="AA93">
        <v>30977142.77</v>
      </c>
      <c r="AB93">
        <v>31183730.25</v>
      </c>
      <c r="AC93">
        <v>31390316.870000001</v>
      </c>
      <c r="AD93">
        <v>31583116.140000001</v>
      </c>
      <c r="AE93">
        <v>31775914.23</v>
      </c>
      <c r="AF93">
        <v>31968711.52</v>
      </c>
      <c r="AG93">
        <v>32161517.280000001</v>
      </c>
      <c r="AH93">
        <v>32354312.789999999</v>
      </c>
      <c r="AK93" s="3" t="str">
        <f ca="1">INDIRECT(ADDRESS(93,2))</f>
        <v>Major Appliances</v>
      </c>
      <c r="AL93" s="3">
        <f ca="1">INDIRECT(ADDRESS(93,3))</f>
        <v>25078806.98</v>
      </c>
      <c r="AM93" s="4">
        <f ca="1">IFERROR(INDIRECT(ADDRESS(93,3)) / INDIRECT(ADDRESS(99,3)),0)</f>
        <v>1.1446570645848156E-2</v>
      </c>
      <c r="AN93" s="3">
        <f ca="1">INDIRECT(ADDRESS(93,9))</f>
        <v>26601220.98</v>
      </c>
      <c r="AO93" s="4">
        <f ca="1">IFERROR(INDIRECT(ADDRESS(93,9)) / INDIRECT(ADDRESS(99,9)),0)</f>
        <v>1.2257979085824605E-2</v>
      </c>
      <c r="AP93" s="4">
        <f ca="1">IFERROR((INDIRECT(ADDRESS(93,9)) - INDIRECT(ADDRESS(93,3)))/ INDIRECT(ADDRESS(93,3)),1)</f>
        <v>6.0705200259888917E-2</v>
      </c>
      <c r="AQ93" s="3">
        <f ca="1">INDIRECT(ADDRESS(93,14))</f>
        <v>27957746.059999999</v>
      </c>
      <c r="AR93" s="4">
        <f ca="1">IFERROR(INDIRECT(ADDRESS(93,14)) / INDIRECT(ADDRESS(99,14)),0)</f>
        <v>1.3132925557560227E-2</v>
      </c>
      <c r="AS93" s="4">
        <f ca="1">IFERROR((INDIRECT(ADDRESS(93,14)) - INDIRECT(ADDRESS(93,3)))/ INDIRECT(ADDRESS(93,3)),1)</f>
        <v>0.11479569511802983</v>
      </c>
      <c r="AT93" s="3">
        <f ca="1">INDIRECT(ADDRESS(93,19))</f>
        <v>29228523.739999998</v>
      </c>
      <c r="AU93" s="4">
        <f ca="1">IFERROR(INDIRECT(ADDRESS(93,19)) / INDIRECT(ADDRESS(99,19)),0)</f>
        <v>1.3722592617952643E-2</v>
      </c>
      <c r="AV93" s="4">
        <f ca="1">IFERROR((INDIRECT(ADDRESS(93,19)) - INDIRECT(ADDRESS(93,3)))/ INDIRECT(ADDRESS(93,3)),1)</f>
        <v>0.16546707199067878</v>
      </c>
      <c r="AW93" s="3">
        <f ca="1">INDIRECT(ADDRESS(93,24))</f>
        <v>30357394.91</v>
      </c>
      <c r="AX93" s="4">
        <f ca="1">IFERROR(INDIRECT(ADDRESS(93,24)) / INDIRECT(ADDRESS(99,24)),0)</f>
        <v>1.419999924731901E-2</v>
      </c>
      <c r="AY93" s="4">
        <f ca="1">IFERROR((INDIRECT(ADDRESS(93,24)) - INDIRECT(ADDRESS(93,3)))/ INDIRECT(ADDRESS(93,3)),1)</f>
        <v>0.21048002539393521</v>
      </c>
      <c r="AZ93" s="3">
        <f ca="1">INDIRECT(ADDRESS(93,29))</f>
        <v>31390316.870000001</v>
      </c>
      <c r="BA93" s="4">
        <f ca="1">IFERROR(INDIRECT(ADDRESS(93,29)) / INDIRECT(ADDRESS(99,29)),0)</f>
        <v>1.4627188339341063E-2</v>
      </c>
      <c r="BB93" s="4">
        <f ca="1">IFERROR((INDIRECT(ADDRESS(93,29)) - INDIRECT(ADDRESS(93,3)))/ INDIRECT(ADDRESS(93,3)),1)</f>
        <v>0.2516670707276204</v>
      </c>
      <c r="BC93" s="3">
        <f ca="1">INDIRECT(ADDRESS(93,34))</f>
        <v>32354312.789999999</v>
      </c>
      <c r="BD93" s="4">
        <f ca="1">IFERROR(INDIRECT(ADDRESS(93,34)) / INDIRECT(ADDRESS(99,34)),0)</f>
        <v>1.4991308760955609E-2</v>
      </c>
      <c r="BE93" s="4">
        <f ca="1">IFERROR((INDIRECT(ADDRESS(93,34)) - INDIRECT(ADDRESS(93,3)))/ INDIRECT(ADDRESS(93,3)),1)</f>
        <v>0.29010573811593643</v>
      </c>
    </row>
    <row r="94" spans="1:57" x14ac:dyDescent="0.25">
      <c r="A94" s="5"/>
      <c r="B94" s="1" t="s">
        <v>86</v>
      </c>
      <c r="C94">
        <v>110616717.56999999</v>
      </c>
      <c r="D94">
        <v>111044294.37</v>
      </c>
      <c r="E94">
        <v>112165790.63</v>
      </c>
      <c r="F94">
        <v>113444009.26000001</v>
      </c>
      <c r="G94">
        <v>114734158.84999999</v>
      </c>
      <c r="H94">
        <v>116027643.97</v>
      </c>
      <c r="I94">
        <v>117320898.92</v>
      </c>
      <c r="J94">
        <v>117928965.7</v>
      </c>
      <c r="K94">
        <v>118540863.05</v>
      </c>
      <c r="L94">
        <v>119156342.15000001</v>
      </c>
      <c r="M94">
        <v>119773020.34999999</v>
      </c>
      <c r="N94">
        <v>120390920.31999999</v>
      </c>
      <c r="O94">
        <v>120869448.54000001</v>
      </c>
      <c r="P94">
        <v>121347715.84</v>
      </c>
      <c r="Q94">
        <v>121825856.93000001</v>
      </c>
      <c r="R94">
        <v>122303835.90000001</v>
      </c>
      <c r="S94">
        <v>122781605.36</v>
      </c>
      <c r="T94">
        <v>123169535.15000001</v>
      </c>
      <c r="U94">
        <v>123557225.7</v>
      </c>
      <c r="V94">
        <v>123944665.66</v>
      </c>
      <c r="W94">
        <v>124331876.04000001</v>
      </c>
      <c r="X94">
        <v>124718827.75</v>
      </c>
      <c r="Y94">
        <v>125175198.04000001</v>
      </c>
      <c r="Z94">
        <v>125631339.29000001</v>
      </c>
      <c r="AA94">
        <v>126087300.53</v>
      </c>
      <c r="AB94">
        <v>126543041.55</v>
      </c>
      <c r="AC94">
        <v>126998841.15000001</v>
      </c>
      <c r="AD94">
        <v>127462176.73999999</v>
      </c>
      <c r="AE94">
        <v>127925740.48999999</v>
      </c>
      <c r="AF94">
        <v>128389433.3</v>
      </c>
      <c r="AG94">
        <v>128853102.92</v>
      </c>
      <c r="AH94">
        <v>129316630.05</v>
      </c>
      <c r="AK94" s="3" t="str">
        <f ca="1">INDIRECT(ADDRESS(94,2))</f>
        <v>Plug Load</v>
      </c>
      <c r="AL94" s="3">
        <f ca="1">INDIRECT(ADDRESS(94,3))</f>
        <v>110616717.56999999</v>
      </c>
      <c r="AM94" s="4">
        <f ca="1">IFERROR(INDIRECT(ADDRESS(94,3)) / INDIRECT(ADDRESS(99,3)),0)</f>
        <v>5.0488130208370778E-2</v>
      </c>
      <c r="AN94" s="3">
        <f ca="1">INDIRECT(ADDRESS(94,9))</f>
        <v>117320898.92</v>
      </c>
      <c r="AO94" s="4">
        <f ca="1">IFERROR(INDIRECT(ADDRESS(94,9)) / INDIRECT(ADDRESS(99,9)),0)</f>
        <v>5.4062072051983781E-2</v>
      </c>
      <c r="AP94" s="4">
        <f ca="1">IFERROR((INDIRECT(ADDRESS(94,9)) - INDIRECT(ADDRESS(94,3)))/ INDIRECT(ADDRESS(94,3)),1)</f>
        <v>6.0607306899678144E-2</v>
      </c>
      <c r="AQ94" s="3">
        <f ca="1">INDIRECT(ADDRESS(94,14))</f>
        <v>120390920.31999999</v>
      </c>
      <c r="AR94" s="4">
        <f ca="1">IFERROR(INDIRECT(ADDRESS(94,14)) / INDIRECT(ADDRESS(99,14)),0)</f>
        <v>5.6552663114385726E-2</v>
      </c>
      <c r="AS94" s="4">
        <f ca="1">IFERROR((INDIRECT(ADDRESS(94,14)) - INDIRECT(ADDRESS(94,3)))/ INDIRECT(ADDRESS(94,3)),1)</f>
        <v>8.8360990677695095E-2</v>
      </c>
      <c r="AT94" s="3">
        <f ca="1">INDIRECT(ADDRESS(94,19))</f>
        <v>122781605.36</v>
      </c>
      <c r="AU94" s="4">
        <f ca="1">IFERROR(INDIRECT(ADDRESS(94,19)) / INDIRECT(ADDRESS(99,19)),0)</f>
        <v>5.7645126600345729E-2</v>
      </c>
      <c r="AV94" s="4">
        <f ca="1">IFERROR((INDIRECT(ADDRESS(94,19)) - INDIRECT(ADDRESS(94,3)))/ INDIRECT(ADDRESS(94,3)),1)</f>
        <v>0.109973321006401</v>
      </c>
      <c r="AW94" s="3">
        <f ca="1">INDIRECT(ADDRESS(94,24))</f>
        <v>124718827.75</v>
      </c>
      <c r="AX94" s="4">
        <f ca="1">IFERROR(INDIRECT(ADDRESS(94,24)) / INDIRECT(ADDRESS(99,24)),0)</f>
        <v>5.8338578307756031E-2</v>
      </c>
      <c r="AY94" s="4">
        <f ca="1">IFERROR((INDIRECT(ADDRESS(94,24)) - INDIRECT(ADDRESS(94,3)))/ INDIRECT(ADDRESS(94,3)),1)</f>
        <v>0.12748624701393776</v>
      </c>
      <c r="AZ94" s="3">
        <f ca="1">INDIRECT(ADDRESS(94,29))</f>
        <v>126998841.15000001</v>
      </c>
      <c r="BA94" s="4">
        <f ca="1">IFERROR(INDIRECT(ADDRESS(94,29)) / INDIRECT(ADDRESS(99,29)),0)</f>
        <v>5.91786306609242E-2</v>
      </c>
      <c r="BB94" s="4">
        <f ca="1">IFERROR((INDIRECT(ADDRESS(94,29)) - INDIRECT(ADDRESS(94,3)))/ INDIRECT(ADDRESS(94,3)),1)</f>
        <v>0.14809808083152665</v>
      </c>
      <c r="BC94" s="3">
        <f ca="1">INDIRECT(ADDRESS(94,34))</f>
        <v>129316630.05</v>
      </c>
      <c r="BD94" s="4">
        <f ca="1">IFERROR(INDIRECT(ADDRESS(94,34)) / INDIRECT(ADDRESS(99,34)),0)</f>
        <v>5.9918612445541003E-2</v>
      </c>
      <c r="BE94" s="4">
        <f ca="1">IFERROR((INDIRECT(ADDRESS(94,34)) - INDIRECT(ADDRESS(94,3)))/ INDIRECT(ADDRESS(94,3)),1)</f>
        <v>0.1690514136632775</v>
      </c>
    </row>
    <row r="95" spans="1:57" x14ac:dyDescent="0.25">
      <c r="A95" s="5"/>
      <c r="B95" s="1" t="s">
        <v>87</v>
      </c>
      <c r="C95">
        <v>11701098.921</v>
      </c>
      <c r="D95">
        <v>11874736.388</v>
      </c>
      <c r="E95">
        <v>12078528.444</v>
      </c>
      <c r="F95">
        <v>12295971.586999999</v>
      </c>
      <c r="G95">
        <v>12520959.909</v>
      </c>
      <c r="H95">
        <v>12755432.335999999</v>
      </c>
      <c r="I95">
        <v>12999385.872</v>
      </c>
      <c r="J95">
        <v>13164945.903999999</v>
      </c>
      <c r="K95">
        <v>13332071.403000001</v>
      </c>
      <c r="L95">
        <v>13496220.891000001</v>
      </c>
      <c r="M95">
        <v>13655445.794</v>
      </c>
      <c r="N95">
        <v>13811072.795</v>
      </c>
      <c r="O95">
        <v>13947105.533</v>
      </c>
      <c r="P95">
        <v>14082657.780999999</v>
      </c>
      <c r="Q95">
        <v>14217933.022</v>
      </c>
      <c r="R95">
        <v>14352714.544</v>
      </c>
      <c r="S95">
        <v>14486811.332</v>
      </c>
      <c r="T95">
        <v>14616158.113</v>
      </c>
      <c r="U95">
        <v>14745522.268999999</v>
      </c>
      <c r="V95">
        <v>14875288.562999999</v>
      </c>
      <c r="W95">
        <v>15005656.416999999</v>
      </c>
      <c r="X95">
        <v>15136695.736</v>
      </c>
      <c r="Y95">
        <v>15270899.397</v>
      </c>
      <c r="Z95">
        <v>15405691.34</v>
      </c>
      <c r="AA95">
        <v>15541082.685000001</v>
      </c>
      <c r="AB95">
        <v>15677047.521</v>
      </c>
      <c r="AC95">
        <v>15813399.516000001</v>
      </c>
      <c r="AD95">
        <v>15955114.184</v>
      </c>
      <c r="AE95">
        <v>16097246.903000001</v>
      </c>
      <c r="AF95">
        <v>16239873.878</v>
      </c>
      <c r="AG95">
        <v>16383089.442</v>
      </c>
      <c r="AH95">
        <v>16526888.585000001</v>
      </c>
      <c r="AK95" s="3" t="str">
        <f ca="1">INDIRECT(ADDRESS(95,2))</f>
        <v>Space Cooling</v>
      </c>
      <c r="AL95" s="3">
        <f ca="1">INDIRECT(ADDRESS(95,3))</f>
        <v>11701098.921</v>
      </c>
      <c r="AM95" s="4">
        <f ca="1">IFERROR(INDIRECT(ADDRESS(95,3)) / INDIRECT(ADDRESS(99,3)),0)</f>
        <v>5.3406629565791305E-3</v>
      </c>
      <c r="AN95" s="3">
        <f ca="1">INDIRECT(ADDRESS(95,9))</f>
        <v>12999385.872</v>
      </c>
      <c r="AO95" s="4">
        <f ca="1">IFERROR(INDIRECT(ADDRESS(95,9)) / INDIRECT(ADDRESS(99,9)),0)</f>
        <v>5.990183693723815E-3</v>
      </c>
      <c r="AP95" s="4">
        <f ca="1">IFERROR((INDIRECT(ADDRESS(95,9)) - INDIRECT(ADDRESS(95,3)))/ INDIRECT(ADDRESS(95,3)),1)</f>
        <v>0.11095427530058391</v>
      </c>
      <c r="AQ95" s="3">
        <f ca="1">INDIRECT(ADDRESS(95,14))</f>
        <v>13811072.795</v>
      </c>
      <c r="AR95" s="4">
        <f ca="1">IFERROR(INDIRECT(ADDRESS(95,14)) / INDIRECT(ADDRESS(99,14)),0)</f>
        <v>6.4876399727475127E-3</v>
      </c>
      <c r="AS95" s="4">
        <f ca="1">IFERROR((INDIRECT(ADDRESS(95,14)) - INDIRECT(ADDRESS(95,3)))/ INDIRECT(ADDRESS(95,3)),1)</f>
        <v>0.18032271056295601</v>
      </c>
      <c r="AT95" s="3">
        <f ca="1">INDIRECT(ADDRESS(95,19))</f>
        <v>14486811.332</v>
      </c>
      <c r="AU95" s="4">
        <f ca="1">IFERROR(INDIRECT(ADDRESS(95,19)) / INDIRECT(ADDRESS(99,19)),0)</f>
        <v>6.8014591503339434E-3</v>
      </c>
      <c r="AV95" s="4">
        <f ca="1">IFERROR((INDIRECT(ADDRESS(95,19)) - INDIRECT(ADDRESS(95,3)))/ INDIRECT(ADDRESS(95,3)),1)</f>
        <v>0.23807271691383389</v>
      </c>
      <c r="AW95" s="3">
        <f ca="1">INDIRECT(ADDRESS(95,24))</f>
        <v>15136695.736</v>
      </c>
      <c r="AX95" s="4">
        <f ca="1">IFERROR(INDIRECT(ADDRESS(95,24)) / INDIRECT(ADDRESS(99,24)),0)</f>
        <v>7.0803528660917259E-3</v>
      </c>
      <c r="AY95" s="4">
        <f ca="1">IFERROR((INDIRECT(ADDRESS(95,24)) - INDIRECT(ADDRESS(95,3)))/ INDIRECT(ADDRESS(95,3)),1)</f>
        <v>0.29361317583890539</v>
      </c>
      <c r="AZ95" s="3">
        <f ca="1">INDIRECT(ADDRESS(95,29))</f>
        <v>15813399.516000001</v>
      </c>
      <c r="BA95" s="4">
        <f ca="1">IFERROR(INDIRECT(ADDRESS(95,29)) / INDIRECT(ADDRESS(99,29)),0)</f>
        <v>7.3686918792093365E-3</v>
      </c>
      <c r="BB95" s="4">
        <f ca="1">IFERROR((INDIRECT(ADDRESS(95,29)) - INDIRECT(ADDRESS(95,3)))/ INDIRECT(ADDRESS(95,3)),1)</f>
        <v>0.3514456738434748</v>
      </c>
      <c r="BC95" s="3">
        <f ca="1">INDIRECT(ADDRESS(95,34))</f>
        <v>16526888.585000001</v>
      </c>
      <c r="BD95" s="4">
        <f ca="1">IFERROR(INDIRECT(ADDRESS(95,34)) / INDIRECT(ADDRESS(99,34)),0)</f>
        <v>7.6577021197688612E-3</v>
      </c>
      <c r="BE95" s="4">
        <f ca="1">IFERROR((INDIRECT(ADDRESS(95,34)) - INDIRECT(ADDRESS(95,3)))/ INDIRECT(ADDRESS(95,3)),1)</f>
        <v>0.4124219183669271</v>
      </c>
    </row>
    <row r="96" spans="1:57" x14ac:dyDescent="0.25">
      <c r="A96" s="5"/>
      <c r="B96" s="1" t="s">
        <v>88</v>
      </c>
      <c r="C96">
        <v>228596226.74200001</v>
      </c>
      <c r="D96">
        <v>228878645.37099999</v>
      </c>
      <c r="E96">
        <v>228975847.86399999</v>
      </c>
      <c r="F96">
        <v>229470143.64300001</v>
      </c>
      <c r="G96">
        <v>229979637.192</v>
      </c>
      <c r="H96">
        <v>230481501.93399999</v>
      </c>
      <c r="I96">
        <v>230962484.176</v>
      </c>
      <c r="J96">
        <v>230688902.18399999</v>
      </c>
      <c r="K96">
        <v>230413259.289</v>
      </c>
      <c r="L96">
        <v>230133121.315</v>
      </c>
      <c r="M96">
        <v>229840083.51800001</v>
      </c>
      <c r="N96">
        <v>229534092.05599999</v>
      </c>
      <c r="O96">
        <v>229050636.27900001</v>
      </c>
      <c r="P96">
        <v>228557388.204</v>
      </c>
      <c r="Q96">
        <v>228055641.21799999</v>
      </c>
      <c r="R96">
        <v>227545533.05399999</v>
      </c>
      <c r="S96">
        <v>227026643.05899999</v>
      </c>
      <c r="T96">
        <v>226311053.01499999</v>
      </c>
      <c r="U96">
        <v>225587895.13600001</v>
      </c>
      <c r="V96">
        <v>224857131.69400001</v>
      </c>
      <c r="W96">
        <v>224118735.57699999</v>
      </c>
      <c r="X96">
        <v>223372686.80599999</v>
      </c>
      <c r="Y96">
        <v>222602481.26199999</v>
      </c>
      <c r="Z96">
        <v>221824453.66499999</v>
      </c>
      <c r="AA96">
        <v>221038631.097</v>
      </c>
      <c r="AB96">
        <v>220245765.433</v>
      </c>
      <c r="AC96">
        <v>219455502.627</v>
      </c>
      <c r="AD96">
        <v>218649492.61899999</v>
      </c>
      <c r="AE96">
        <v>217851002.15799999</v>
      </c>
      <c r="AF96">
        <v>217056536.27000001</v>
      </c>
      <c r="AG96">
        <v>216259665.30399999</v>
      </c>
      <c r="AH96">
        <v>215458093.59200001</v>
      </c>
      <c r="AK96" s="3" t="str">
        <f ca="1">INDIRECT(ADDRESS(96,2))</f>
        <v>Space Heating</v>
      </c>
      <c r="AL96" s="3">
        <f ca="1">INDIRECT(ADDRESS(96,3))</f>
        <v>228596226.74200001</v>
      </c>
      <c r="AM96" s="4">
        <f ca="1">IFERROR(INDIRECT(ADDRESS(96,3)) / INDIRECT(ADDRESS(99,3)),0)</f>
        <v>0.10433681557752579</v>
      </c>
      <c r="AN96" s="3">
        <f ca="1">INDIRECT(ADDRESS(96,9))</f>
        <v>230962484.176</v>
      </c>
      <c r="AO96" s="4">
        <f ca="1">IFERROR(INDIRECT(ADDRESS(96,9)) / INDIRECT(ADDRESS(99,9)),0)</f>
        <v>0.10642869749355033</v>
      </c>
      <c r="AP96" s="4">
        <f ca="1">IFERROR((INDIRECT(ADDRESS(96,9)) - INDIRECT(ADDRESS(96,3)))/ INDIRECT(ADDRESS(96,3)),1)</f>
        <v>1.0351253245621628E-2</v>
      </c>
      <c r="AQ96" s="3">
        <f ca="1">INDIRECT(ADDRESS(96,14))</f>
        <v>229534092.05599999</v>
      </c>
      <c r="AR96" s="4">
        <f ca="1">IFERROR(INDIRECT(ADDRESS(96,14)) / INDIRECT(ADDRESS(99,14)),0)</f>
        <v>0.10782178711489536</v>
      </c>
      <c r="AS96" s="4">
        <f ca="1">IFERROR((INDIRECT(ADDRESS(96,14)) - INDIRECT(ADDRESS(96,3)))/ INDIRECT(ADDRESS(96,3)),1)</f>
        <v>4.1027156369404178E-3</v>
      </c>
      <c r="AT96" s="3">
        <f ca="1">INDIRECT(ADDRESS(96,19))</f>
        <v>227026643.05899999</v>
      </c>
      <c r="AU96" s="4">
        <f ca="1">IFERROR(INDIRECT(ADDRESS(96,19)) / INDIRECT(ADDRESS(99,19)),0)</f>
        <v>0.10658746106484004</v>
      </c>
      <c r="AV96" s="4">
        <f ca="1">IFERROR((INDIRECT(ADDRESS(96,19)) - INDIRECT(ADDRESS(96,3)))/ INDIRECT(ADDRESS(96,3)),1)</f>
        <v>-6.8661836871502843E-3</v>
      </c>
      <c r="AW96" s="3">
        <f ca="1">INDIRECT(ADDRESS(96,24))</f>
        <v>223372686.80599999</v>
      </c>
      <c r="AX96" s="4">
        <f ca="1">IFERROR(INDIRECT(ADDRESS(96,24)) / INDIRECT(ADDRESS(99,24)),0)</f>
        <v>0.1044849860773783</v>
      </c>
      <c r="AY96" s="4">
        <f ca="1">IFERROR((INDIRECT(ADDRESS(96,24)) - INDIRECT(ADDRESS(96,3)))/ INDIRECT(ADDRESS(96,3)),1)</f>
        <v>-2.2850508122758517E-2</v>
      </c>
      <c r="AZ96" s="3">
        <f ca="1">INDIRECT(ADDRESS(96,29))</f>
        <v>219455502.627</v>
      </c>
      <c r="BA96" s="4">
        <f ca="1">IFERROR(INDIRECT(ADDRESS(96,29)) / INDIRECT(ADDRESS(99,29)),0)</f>
        <v>0.10226137513437233</v>
      </c>
      <c r="BB96" s="4">
        <f ca="1">IFERROR((INDIRECT(ADDRESS(96,29)) - INDIRECT(ADDRESS(96,3)))/ INDIRECT(ADDRESS(96,3)),1)</f>
        <v>-3.9986329806381636E-2</v>
      </c>
      <c r="BC96" s="3">
        <f ca="1">INDIRECT(ADDRESS(96,34))</f>
        <v>215458093.59200001</v>
      </c>
      <c r="BD96" s="4">
        <f ca="1">IFERROR(INDIRECT(ADDRESS(96,34)) / INDIRECT(ADDRESS(99,34)),0)</f>
        <v>9.9832094319211265E-2</v>
      </c>
      <c r="BE96" s="4">
        <f ca="1">IFERROR((INDIRECT(ADDRESS(96,34)) - INDIRECT(ADDRESS(96,3)))/ INDIRECT(ADDRESS(96,3)),1)</f>
        <v>-5.7473097160208445E-2</v>
      </c>
    </row>
    <row r="97" spans="1:57" x14ac:dyDescent="0.25">
      <c r="A97" s="5"/>
      <c r="B97" s="1" t="s">
        <v>28</v>
      </c>
      <c r="C97">
        <v>590226101.63999999</v>
      </c>
      <c r="D97">
        <v>582766960.03999996</v>
      </c>
      <c r="E97">
        <v>582948591.34000003</v>
      </c>
      <c r="F97">
        <v>579537050.34000003</v>
      </c>
      <c r="G97">
        <v>577223367.34000003</v>
      </c>
      <c r="H97">
        <v>571302352.34000003</v>
      </c>
      <c r="I97">
        <v>552912874.34000003</v>
      </c>
      <c r="J97">
        <v>542716151.34000003</v>
      </c>
      <c r="K97">
        <v>531525035.33999997</v>
      </c>
      <c r="L97">
        <v>520395565.33999997</v>
      </c>
      <c r="M97">
        <v>510628265.33999997</v>
      </c>
      <c r="N97">
        <v>504801527.33999997</v>
      </c>
      <c r="O97">
        <v>501495698.33999997</v>
      </c>
      <c r="P97">
        <v>500517662.33999997</v>
      </c>
      <c r="Q97">
        <v>500689958.33999997</v>
      </c>
      <c r="R97">
        <v>499049384.33999997</v>
      </c>
      <c r="S97">
        <v>499921446.33999997</v>
      </c>
      <c r="T97">
        <v>500140573.33999997</v>
      </c>
      <c r="U97">
        <v>500330623.33999997</v>
      </c>
      <c r="V97">
        <v>500714937.33999997</v>
      </c>
      <c r="W97">
        <v>501572197.33999997</v>
      </c>
      <c r="X97">
        <v>502846766.33999997</v>
      </c>
      <c r="Y97">
        <v>503835522.33999997</v>
      </c>
      <c r="Z97">
        <v>504690820.33999997</v>
      </c>
      <c r="AA97">
        <v>505475292.33999997</v>
      </c>
      <c r="AB97">
        <v>506330309.33999997</v>
      </c>
      <c r="AC97">
        <v>507360797.33999997</v>
      </c>
      <c r="AD97">
        <v>508666375.33999997</v>
      </c>
      <c r="AE97">
        <v>510301145.33999997</v>
      </c>
      <c r="AF97">
        <v>512282921.33999997</v>
      </c>
      <c r="AG97">
        <v>514574729.33999997</v>
      </c>
      <c r="AH97">
        <v>517016785.33999997</v>
      </c>
      <c r="AK97" s="3" t="str">
        <f ca="1">INDIRECT(ADDRESS(97,2))</f>
        <v>Transportation</v>
      </c>
      <c r="AL97" s="3">
        <f ca="1">INDIRECT(ADDRESS(97,3))</f>
        <v>590226101.63999999</v>
      </c>
      <c r="AM97" s="4">
        <f ca="1">IFERROR(INDIRECT(ADDRESS(97,3)) / INDIRECT(ADDRESS(99,3)),0)</f>
        <v>0.26939338760546633</v>
      </c>
      <c r="AN97" s="3">
        <f ca="1">INDIRECT(ADDRESS(97,9))</f>
        <v>552912874.34000003</v>
      </c>
      <c r="AO97" s="4">
        <f ca="1">IFERROR(INDIRECT(ADDRESS(97,9)) / INDIRECT(ADDRESS(99,9)),0)</f>
        <v>0.25478508881372741</v>
      </c>
      <c r="AP97" s="4">
        <f ca="1">IFERROR((INDIRECT(ADDRESS(97,9)) - INDIRECT(ADDRESS(97,3)))/ INDIRECT(ADDRESS(97,3)),1)</f>
        <v>-6.3218531332859665E-2</v>
      </c>
      <c r="AQ97" s="3">
        <f ca="1">INDIRECT(ADDRESS(97,14))</f>
        <v>504801527.33999997</v>
      </c>
      <c r="AR97" s="4">
        <f ca="1">IFERROR(INDIRECT(ADDRESS(97,14)) / INDIRECT(ADDRESS(99,14)),0)</f>
        <v>0.23712644308562419</v>
      </c>
      <c r="AS97" s="4">
        <f ca="1">IFERROR((INDIRECT(ADDRESS(97,14)) - INDIRECT(ADDRESS(97,3)))/ INDIRECT(ADDRESS(97,3)),1)</f>
        <v>-0.14473194943876527</v>
      </c>
      <c r="AT97" s="3">
        <f ca="1">INDIRECT(ADDRESS(97,19))</f>
        <v>499921446.33999997</v>
      </c>
      <c r="AU97" s="4">
        <f ca="1">IFERROR(INDIRECT(ADDRESS(97,19)) / INDIRECT(ADDRESS(99,19)),0)</f>
        <v>0.23470971062808429</v>
      </c>
      <c r="AV97" s="4">
        <f ca="1">IFERROR((INDIRECT(ADDRESS(97,19)) - INDIRECT(ADDRESS(97,3)))/ INDIRECT(ADDRESS(97,3)),1)</f>
        <v>-0.15300010461936508</v>
      </c>
      <c r="AW97" s="3">
        <f ca="1">INDIRECT(ADDRESS(97,24))</f>
        <v>502846766.33999997</v>
      </c>
      <c r="AX97" s="4">
        <f ca="1">IFERROR(INDIRECT(ADDRESS(97,24)) / INDIRECT(ADDRESS(99,24)),0)</f>
        <v>0.23521200434733872</v>
      </c>
      <c r="AY97" s="4">
        <f ca="1">IFERROR((INDIRECT(ADDRESS(97,24)) - INDIRECT(ADDRESS(97,3)))/ INDIRECT(ADDRESS(97,3)),1)</f>
        <v>-0.14804383448513736</v>
      </c>
      <c r="AZ97" s="3">
        <f ca="1">INDIRECT(ADDRESS(97,29))</f>
        <v>507360797.33999997</v>
      </c>
      <c r="BA97" s="4">
        <f ca="1">IFERROR(INDIRECT(ADDRESS(97,29)) / INDIRECT(ADDRESS(99,29)),0)</f>
        <v>0.23641882843760004</v>
      </c>
      <c r="BB97" s="4">
        <f ca="1">IFERROR((INDIRECT(ADDRESS(97,29)) - INDIRECT(ADDRESS(97,3)))/ INDIRECT(ADDRESS(97,3)),1)</f>
        <v>-0.14039586536371534</v>
      </c>
      <c r="BC97" s="3">
        <f ca="1">INDIRECT(ADDRESS(97,34))</f>
        <v>517016785.33999997</v>
      </c>
      <c r="BD97" s="4">
        <f ca="1">IFERROR(INDIRECT(ADDRESS(97,34)) / INDIRECT(ADDRESS(99,34)),0)</f>
        <v>0.23955873561388807</v>
      </c>
      <c r="BE97" s="4">
        <f ca="1">IFERROR((INDIRECT(ADDRESS(97,34)) - INDIRECT(ADDRESS(97,3)))/ INDIRECT(ADDRESS(97,3)),1)</f>
        <v>-0.12403605346591906</v>
      </c>
    </row>
    <row r="98" spans="1:57" x14ac:dyDescent="0.25">
      <c r="A98" s="5"/>
      <c r="B98" s="1" t="s">
        <v>89</v>
      </c>
      <c r="C98">
        <v>71613249.542799994</v>
      </c>
      <c r="D98">
        <v>71820424.822799996</v>
      </c>
      <c r="E98">
        <v>72164204.212799996</v>
      </c>
      <c r="F98">
        <v>72645901.352799997</v>
      </c>
      <c r="G98">
        <v>73129859.562800005</v>
      </c>
      <c r="H98">
        <v>73607338.5528</v>
      </c>
      <c r="I98">
        <v>74076552.542799994</v>
      </c>
      <c r="J98">
        <v>74374947.892800003</v>
      </c>
      <c r="K98">
        <v>74687094.112800002</v>
      </c>
      <c r="L98">
        <v>75036896.882799998</v>
      </c>
      <c r="M98">
        <v>75439598.112800002</v>
      </c>
      <c r="N98">
        <v>75894244.092800006</v>
      </c>
      <c r="O98">
        <v>76343924.0528</v>
      </c>
      <c r="P98">
        <v>76796304.512800008</v>
      </c>
      <c r="Q98">
        <v>77234112.162799999</v>
      </c>
      <c r="R98">
        <v>77655996.5528</v>
      </c>
      <c r="S98">
        <v>78068743.462799996</v>
      </c>
      <c r="T98">
        <v>78441586.582800001</v>
      </c>
      <c r="U98">
        <v>78813649.932799995</v>
      </c>
      <c r="V98">
        <v>79185597.142800003</v>
      </c>
      <c r="W98">
        <v>79557540.212799996</v>
      </c>
      <c r="X98">
        <v>79929464.882799998</v>
      </c>
      <c r="Y98">
        <v>80277135.862800002</v>
      </c>
      <c r="Z98">
        <v>80624794.832800001</v>
      </c>
      <c r="AA98">
        <v>80972475.602799997</v>
      </c>
      <c r="AB98">
        <v>81320145.252800003</v>
      </c>
      <c r="AC98">
        <v>81667813.632799998</v>
      </c>
      <c r="AD98">
        <v>81990618.522799999</v>
      </c>
      <c r="AE98">
        <v>82313421.632799998</v>
      </c>
      <c r="AF98">
        <v>82636225.612800002</v>
      </c>
      <c r="AG98">
        <v>82959028.762800008</v>
      </c>
      <c r="AH98">
        <v>83281852.142800003</v>
      </c>
      <c r="AK98" s="3" t="str">
        <f ca="1">INDIRECT(ADDRESS(98,2))</f>
        <v>Water Heating</v>
      </c>
      <c r="AL98" s="3">
        <f ca="1">INDIRECT(ADDRESS(98,3))</f>
        <v>71613249.542799994</v>
      </c>
      <c r="AM98" s="4">
        <f ca="1">IFERROR(INDIRECT(ADDRESS(98,3)) / INDIRECT(ADDRESS(99,3)),0)</f>
        <v>3.2686009375331671E-2</v>
      </c>
      <c r="AN98" s="3">
        <f ca="1">INDIRECT(ADDRESS(98,9))</f>
        <v>74076552.542799994</v>
      </c>
      <c r="AO98" s="4">
        <f ca="1">IFERROR(INDIRECT(ADDRESS(98,9)) / INDIRECT(ADDRESS(99,9)),0)</f>
        <v>3.4134855407664443E-2</v>
      </c>
      <c r="AP98" s="4">
        <f ca="1">IFERROR((INDIRECT(ADDRESS(98,9)) - INDIRECT(ADDRESS(98,3)))/ INDIRECT(ADDRESS(98,3)),1)</f>
        <v>3.4397307980387003E-2</v>
      </c>
      <c r="AQ98" s="3">
        <f ca="1">INDIRECT(ADDRESS(98,14))</f>
        <v>75894244.092800006</v>
      </c>
      <c r="AR98" s="4">
        <f ca="1">IFERROR(INDIRECT(ADDRESS(98,14)) / INDIRECT(ADDRESS(99,14)),0)</f>
        <v>3.5650708600722142E-2</v>
      </c>
      <c r="AS98" s="4">
        <f ca="1">IFERROR((INDIRECT(ADDRESS(98,14)) - INDIRECT(ADDRESS(98,3)))/ INDIRECT(ADDRESS(98,3)),1)</f>
        <v>5.9779364535629056E-2</v>
      </c>
      <c r="AT98" s="3">
        <f ca="1">INDIRECT(ADDRESS(98,19))</f>
        <v>78068743.462799996</v>
      </c>
      <c r="AU98" s="4">
        <f ca="1">IFERROR(INDIRECT(ADDRESS(98,19)) / INDIRECT(ADDRESS(99,19)),0)</f>
        <v>3.665274278869405E-2</v>
      </c>
      <c r="AV98" s="4">
        <f ca="1">IFERROR((INDIRECT(ADDRESS(98,19)) - INDIRECT(ADDRESS(98,3)))/ INDIRECT(ADDRESS(98,3)),1)</f>
        <v>9.0143848536601401E-2</v>
      </c>
      <c r="AW98" s="3">
        <f ca="1">INDIRECT(ADDRESS(98,24))</f>
        <v>79929464.882799998</v>
      </c>
      <c r="AX98" s="4">
        <f ca="1">IFERROR(INDIRECT(ADDRESS(98,24)) / INDIRECT(ADDRESS(99,24)),0)</f>
        <v>3.7387870222042423E-2</v>
      </c>
      <c r="AY98" s="4">
        <f ca="1">IFERROR((INDIRECT(ADDRESS(98,24)) - INDIRECT(ADDRESS(98,3)))/ INDIRECT(ADDRESS(98,3)),1)</f>
        <v>0.11612676974014115</v>
      </c>
      <c r="AZ98" s="3">
        <f ca="1">INDIRECT(ADDRESS(98,29))</f>
        <v>81667813.632799998</v>
      </c>
      <c r="BA98" s="4">
        <f ca="1">IFERROR(INDIRECT(ADDRESS(98,29)) / INDIRECT(ADDRESS(99,29)),0)</f>
        <v>3.8055381734958933E-2</v>
      </c>
      <c r="BB98" s="4">
        <f ca="1">IFERROR((INDIRECT(ADDRESS(98,29)) - INDIRECT(ADDRESS(98,3)))/ INDIRECT(ADDRESS(98,3)),1)</f>
        <v>0.14040089165330846</v>
      </c>
      <c r="BC98" s="3">
        <f ca="1">INDIRECT(ADDRESS(98,34))</f>
        <v>83281852.142800003</v>
      </c>
      <c r="BD98" s="4">
        <f ca="1">IFERROR(INDIRECT(ADDRESS(98,34)) / INDIRECT(ADDRESS(99,34)),0)</f>
        <v>3.8588486417886529E-2</v>
      </c>
      <c r="BE98" s="4">
        <f ca="1">IFERROR((INDIRECT(ADDRESS(98,34)) - INDIRECT(ADDRESS(98,3)))/ INDIRECT(ADDRESS(98,3)),1)</f>
        <v>0.16293915824928756</v>
      </c>
    </row>
    <row r="99" spans="1:57" x14ac:dyDescent="0.25">
      <c r="A99" s="1" t="s">
        <v>21</v>
      </c>
      <c r="B99" s="1"/>
      <c r="C99">
        <v>2190945022.3937998</v>
      </c>
      <c r="D99">
        <v>2184793908.0558</v>
      </c>
      <c r="E99">
        <v>2187332339.8127999</v>
      </c>
      <c r="F99">
        <v>2187095676.4327998</v>
      </c>
      <c r="G99">
        <v>2188002300.9798002</v>
      </c>
      <c r="H99">
        <v>2185302695.2198</v>
      </c>
      <c r="I99">
        <v>2170114730.4748001</v>
      </c>
      <c r="J99">
        <v>2161222729.5377998</v>
      </c>
      <c r="K99">
        <v>2151356195.2828002</v>
      </c>
      <c r="L99">
        <v>2141587801.3717999</v>
      </c>
      <c r="M99">
        <v>2133218983.2897999</v>
      </c>
      <c r="N99">
        <v>2128828488.1738</v>
      </c>
      <c r="O99">
        <v>2126758351.0708001</v>
      </c>
      <c r="P99">
        <v>2127008161.6458001</v>
      </c>
      <c r="Q99">
        <v>2128384836.3227999</v>
      </c>
      <c r="R99">
        <v>2127923690.8787999</v>
      </c>
      <c r="S99">
        <v>2129956383.1517999</v>
      </c>
      <c r="T99">
        <v>2131183880.8817999</v>
      </c>
      <c r="U99">
        <v>2132373751.0067999</v>
      </c>
      <c r="V99">
        <v>2133750299.0178001</v>
      </c>
      <c r="W99">
        <v>2135592536.6777999</v>
      </c>
      <c r="X99">
        <v>2137844825.2897999</v>
      </c>
      <c r="Y99">
        <v>2139579142.2168</v>
      </c>
      <c r="Z99">
        <v>2141172547.0518</v>
      </c>
      <c r="AA99">
        <v>2142687783.0567999</v>
      </c>
      <c r="AB99">
        <v>2144266882.8138001</v>
      </c>
      <c r="AC99">
        <v>2146025342.7908001</v>
      </c>
      <c r="AD99">
        <v>2147826272.5348001</v>
      </c>
      <c r="AE99">
        <v>2149965583.0618</v>
      </c>
      <c r="AF99">
        <v>2152457379.4868002</v>
      </c>
      <c r="AG99">
        <v>2155257819.9098001</v>
      </c>
      <c r="AH99">
        <v>2158204684.1877999</v>
      </c>
    </row>
    <row r="102" spans="1:57" x14ac:dyDescent="0.25">
      <c r="A102" s="1" t="s">
        <v>0</v>
      </c>
      <c r="B102" s="1" t="s">
        <v>39</v>
      </c>
      <c r="C102" s="1">
        <v>2019</v>
      </c>
      <c r="D102" s="1">
        <v>2020</v>
      </c>
      <c r="E102" s="1">
        <v>2021</v>
      </c>
      <c r="F102" s="1">
        <v>2022</v>
      </c>
      <c r="G102" s="1">
        <v>2023</v>
      </c>
      <c r="H102" s="1">
        <v>2024</v>
      </c>
      <c r="I102" s="1">
        <v>2025</v>
      </c>
      <c r="J102" s="1">
        <v>2026</v>
      </c>
      <c r="K102" s="1">
        <v>2027</v>
      </c>
      <c r="L102" s="1">
        <v>2028</v>
      </c>
      <c r="M102" s="1">
        <v>2029</v>
      </c>
      <c r="N102" s="1">
        <v>2030</v>
      </c>
      <c r="O102" s="1">
        <v>2031</v>
      </c>
      <c r="P102" s="1">
        <v>2032</v>
      </c>
      <c r="Q102" s="1">
        <v>2033</v>
      </c>
      <c r="R102" s="1">
        <v>2034</v>
      </c>
      <c r="S102" s="1">
        <v>2035</v>
      </c>
      <c r="T102" s="1">
        <v>2036</v>
      </c>
      <c r="U102" s="1">
        <v>2037</v>
      </c>
      <c r="V102" s="1">
        <v>2038</v>
      </c>
      <c r="W102" s="1">
        <v>2039</v>
      </c>
      <c r="X102" s="1">
        <v>2040</v>
      </c>
      <c r="Y102" s="1">
        <v>2041</v>
      </c>
      <c r="Z102" s="1">
        <v>2042</v>
      </c>
      <c r="AA102" s="1">
        <v>2043</v>
      </c>
      <c r="AB102" s="1">
        <v>2044</v>
      </c>
      <c r="AC102" s="1">
        <v>2045</v>
      </c>
      <c r="AD102" s="1">
        <v>2046</v>
      </c>
      <c r="AE102" s="1">
        <v>2047</v>
      </c>
      <c r="AF102" s="1">
        <v>2048</v>
      </c>
      <c r="AG102" s="1">
        <v>2049</v>
      </c>
      <c r="AH102" s="1">
        <v>2050</v>
      </c>
      <c r="AL102" s="2">
        <f ca="1">INDIRECT(ADDRESS(102,3))</f>
        <v>2019</v>
      </c>
      <c r="AM102" s="2" t="str">
        <f ca="1">CONCATENATE(INDIRECT(ADDRESS(102,3))," Share")</f>
        <v>2019 Share</v>
      </c>
      <c r="AN102" s="2">
        <f ca="1">INDIRECT(ADDRESS(102,9))</f>
        <v>2025</v>
      </c>
      <c r="AO102" s="2" t="str">
        <f ca="1">CONCATENATE(INDIRECT(ADDRESS(102,9))," Share")</f>
        <v>2025 Share</v>
      </c>
      <c r="AP102" s="2" t="str">
        <f ca="1">CONCATENATE("% change ",INDIRECT(ADDRESS(102,3)),"-",INDIRECT(ADDRESS(102,9)))</f>
        <v>% change 2019-2025</v>
      </c>
      <c r="AQ102" s="2">
        <f ca="1">INDIRECT(ADDRESS(102,14))</f>
        <v>2030</v>
      </c>
      <c r="AR102" s="2" t="str">
        <f ca="1">CONCATENATE(INDIRECT(ADDRESS(102,14))," Share")</f>
        <v>2030 Share</v>
      </c>
      <c r="AS102" s="2" t="str">
        <f ca="1">CONCATENATE("% change ",INDIRECT(ADDRESS(102,3)),"-",INDIRECT(ADDRESS(102,14)))</f>
        <v>% change 2019-2030</v>
      </c>
      <c r="AT102" s="2">
        <f ca="1">INDIRECT(ADDRESS(102,19))</f>
        <v>2035</v>
      </c>
      <c r="AU102" s="2" t="str">
        <f ca="1">CONCATENATE(INDIRECT(ADDRESS(102,19))," Share")</f>
        <v>2035 Share</v>
      </c>
      <c r="AV102" s="2" t="str">
        <f ca="1">CONCATENATE("% change ",INDIRECT(ADDRESS(102,3)),"-",INDIRECT(ADDRESS(102,19)))</f>
        <v>% change 2019-2035</v>
      </c>
      <c r="AW102" s="2">
        <f ca="1">INDIRECT(ADDRESS(102,24))</f>
        <v>2040</v>
      </c>
      <c r="AX102" s="2" t="str">
        <f ca="1">CONCATENATE(INDIRECT(ADDRESS(102,24))," Share")</f>
        <v>2040 Share</v>
      </c>
      <c r="AY102" s="2" t="str">
        <f ca="1">CONCATENATE("% change ",INDIRECT(ADDRESS(102,3)),"-",INDIRECT(ADDRESS(102,24)))</f>
        <v>% change 2019-2040</v>
      </c>
      <c r="AZ102" s="2">
        <f ca="1">INDIRECT(ADDRESS(102,29))</f>
        <v>2045</v>
      </c>
      <c r="BA102" s="2" t="str">
        <f ca="1">CONCATENATE(INDIRECT(ADDRESS(102,29))," Share")</f>
        <v>2045 Share</v>
      </c>
      <c r="BB102" s="2" t="str">
        <f ca="1">CONCATENATE("% change ",INDIRECT(ADDRESS(102,3)),"-",INDIRECT(ADDRESS(102,29)))</f>
        <v>% change 2019-2045</v>
      </c>
      <c r="BC102" s="2">
        <f ca="1">INDIRECT(ADDRESS(102,34))</f>
        <v>2050</v>
      </c>
      <c r="BD102" s="2" t="str">
        <f ca="1">CONCATENATE(INDIRECT(ADDRESS(102,34))," Share")</f>
        <v>2050 Share</v>
      </c>
      <c r="BE102" s="2" t="str">
        <f ca="1">CONCATENATE("% change ",INDIRECT(ADDRESS(102,3)),"-",INDIRECT(ADDRESS(102,34)))</f>
        <v>% change 2019-2050</v>
      </c>
    </row>
    <row r="103" spans="1:57" x14ac:dyDescent="0.25">
      <c r="A103" s="5" t="s">
        <v>5</v>
      </c>
      <c r="B103" s="1" t="s">
        <v>100</v>
      </c>
      <c r="C103">
        <v>52357190</v>
      </c>
      <c r="D103">
        <v>52357190</v>
      </c>
      <c r="E103">
        <v>52357190</v>
      </c>
      <c r="F103">
        <v>52357190</v>
      </c>
      <c r="G103">
        <v>52357190</v>
      </c>
      <c r="H103">
        <v>52357190</v>
      </c>
      <c r="I103">
        <v>52357184</v>
      </c>
      <c r="J103">
        <v>52357184</v>
      </c>
      <c r="K103">
        <v>52357181</v>
      </c>
      <c r="L103">
        <v>52357183</v>
      </c>
      <c r="M103">
        <v>52357182</v>
      </c>
      <c r="N103">
        <v>52357187</v>
      </c>
      <c r="O103">
        <v>52357178</v>
      </c>
      <c r="P103">
        <v>52357186</v>
      </c>
      <c r="Q103">
        <v>52357180</v>
      </c>
      <c r="R103">
        <v>52357190</v>
      </c>
      <c r="S103">
        <v>52357186</v>
      </c>
      <c r="T103">
        <v>52357188</v>
      </c>
      <c r="U103">
        <v>52357187</v>
      </c>
      <c r="V103">
        <v>52357183</v>
      </c>
      <c r="W103">
        <v>52357184</v>
      </c>
      <c r="X103">
        <v>52357182</v>
      </c>
      <c r="Y103">
        <v>52357186</v>
      </c>
      <c r="Z103">
        <v>52357187</v>
      </c>
      <c r="AA103">
        <v>52357184</v>
      </c>
      <c r="AB103">
        <v>52357188</v>
      </c>
      <c r="AC103">
        <v>52357187</v>
      </c>
      <c r="AD103">
        <v>52357184</v>
      </c>
      <c r="AE103">
        <v>52357187</v>
      </c>
      <c r="AF103">
        <v>52357186</v>
      </c>
      <c r="AG103">
        <v>52357182</v>
      </c>
      <c r="AH103">
        <v>52357184</v>
      </c>
      <c r="AK103" s="3" t="str">
        <f ca="1">INDIRECT(ADDRESS(103,2))</f>
        <v>Chp</v>
      </c>
      <c r="AL103" s="3">
        <f ca="1">INDIRECT(ADDRESS(103,3))</f>
        <v>52357190</v>
      </c>
      <c r="AM103" s="4">
        <f ca="1">IFERROR(INDIRECT(ADDRESS(103,3)) / INDIRECT(ADDRESS(121,3)),0)</f>
        <v>2.389708069570599E-2</v>
      </c>
      <c r="AN103" s="3">
        <f ca="1">INDIRECT(ADDRESS(103,9))</f>
        <v>52357184</v>
      </c>
      <c r="AO103" s="4">
        <f ca="1">IFERROR(INDIRECT(ADDRESS(103,9)) / INDIRECT(ADDRESS(121,9)),0)</f>
        <v>2.601206464006588E-2</v>
      </c>
      <c r="AP103" s="4">
        <f ca="1">IFERROR((INDIRECT(ADDRESS(103,9)) - INDIRECT(ADDRESS(103,3)))/ INDIRECT(ADDRESS(103,3)),1)</f>
        <v>-1.1459744115373648E-7</v>
      </c>
      <c r="AQ103" s="3">
        <f ca="1">INDIRECT(ADDRESS(103,14))</f>
        <v>52357187</v>
      </c>
      <c r="AR103" s="4">
        <f ca="1">IFERROR(INDIRECT(ADDRESS(103,14)) / INDIRECT(ADDRESS(121,14)),0)</f>
        <v>3.0402718763775E-2</v>
      </c>
      <c r="AS103" s="4">
        <f ca="1">IFERROR((INDIRECT(ADDRESS(103,14)) - INDIRECT(ADDRESS(103,3)))/ INDIRECT(ADDRESS(103,3)),1)</f>
        <v>-5.7298720576868241E-8</v>
      </c>
      <c r="AT103" s="3">
        <f ca="1">INDIRECT(ADDRESS(103,19))</f>
        <v>52357186</v>
      </c>
      <c r="AU103" s="4">
        <f ca="1">IFERROR(INDIRECT(ADDRESS(103,19)) / INDIRECT(ADDRESS(121,19)),0)</f>
        <v>3.4053254455643424E-2</v>
      </c>
      <c r="AV103" s="4">
        <f ca="1">IFERROR((INDIRECT(ADDRESS(103,19)) - INDIRECT(ADDRESS(103,3)))/ INDIRECT(ADDRESS(103,3)),1)</f>
        <v>-7.6398294102490988E-8</v>
      </c>
      <c r="AW103" s="3">
        <f ca="1">INDIRECT(ADDRESS(103,24))</f>
        <v>52357182</v>
      </c>
      <c r="AX103" s="4">
        <f ca="1">IFERROR(INDIRECT(ADDRESS(103,24)) / INDIRECT(ADDRESS(121,24)),0)</f>
        <v>3.768783486766928E-2</v>
      </c>
      <c r="AY103" s="4">
        <f ca="1">IFERROR((INDIRECT(ADDRESS(103,24)) - INDIRECT(ADDRESS(103,3)))/ INDIRECT(ADDRESS(103,3)),1)</f>
        <v>-1.5279658820498198E-7</v>
      </c>
      <c r="AZ103" s="3">
        <f ca="1">INDIRECT(ADDRESS(103,29))</f>
        <v>52357187</v>
      </c>
      <c r="BA103" s="4">
        <f ca="1">IFERROR(INDIRECT(ADDRESS(103,29)) / INDIRECT(ADDRESS(121,29)),0)</f>
        <v>3.9691021056294996E-2</v>
      </c>
      <c r="BB103" s="4">
        <f ca="1">IFERROR((INDIRECT(ADDRESS(103,29)) - INDIRECT(ADDRESS(103,3)))/ INDIRECT(ADDRESS(103,3)),1)</f>
        <v>-5.7298720576868241E-8</v>
      </c>
      <c r="BC103" s="3">
        <f ca="1">INDIRECT(ADDRESS(103,34))</f>
        <v>52357184</v>
      </c>
      <c r="BD103" s="4">
        <f ca="1">IFERROR(INDIRECT(ADDRESS(103,34)) / INDIRECT(ADDRESS(121,34)),0)</f>
        <v>4.0628355161513412E-2</v>
      </c>
      <c r="BE103" s="4">
        <f ca="1">IFERROR((INDIRECT(ADDRESS(103,34)) - INDIRECT(ADDRESS(103,3)))/ INDIRECT(ADDRESS(103,3)),1)</f>
        <v>-1.1459744115373648E-7</v>
      </c>
    </row>
    <row r="104" spans="1:57" x14ac:dyDescent="0.25">
      <c r="A104" s="5"/>
      <c r="B104" s="1" t="s">
        <v>40</v>
      </c>
      <c r="C104">
        <v>67364420</v>
      </c>
      <c r="D104">
        <v>66743197</v>
      </c>
      <c r="E104">
        <v>66743197</v>
      </c>
      <c r="F104">
        <v>66743197</v>
      </c>
      <c r="G104">
        <v>66661123</v>
      </c>
      <c r="H104">
        <v>66577156</v>
      </c>
      <c r="I104">
        <v>4785705</v>
      </c>
      <c r="J104">
        <v>4733278</v>
      </c>
      <c r="K104">
        <v>4682347</v>
      </c>
      <c r="L104">
        <v>4632848</v>
      </c>
      <c r="M104">
        <v>4584718</v>
      </c>
      <c r="N104">
        <v>4515577</v>
      </c>
      <c r="O104">
        <v>4470856</v>
      </c>
      <c r="P104">
        <v>4427315</v>
      </c>
      <c r="Q104">
        <v>4384904</v>
      </c>
      <c r="R104">
        <v>4343577</v>
      </c>
      <c r="S104">
        <v>4303292</v>
      </c>
      <c r="T104">
        <v>4266742</v>
      </c>
      <c r="U104">
        <v>4231129</v>
      </c>
      <c r="V104">
        <v>4196418</v>
      </c>
      <c r="W104">
        <v>4162576</v>
      </c>
      <c r="X104">
        <v>4129570</v>
      </c>
      <c r="Y104">
        <v>4096238</v>
      </c>
      <c r="Z104">
        <v>4063709</v>
      </c>
      <c r="AA104">
        <v>4031956</v>
      </c>
      <c r="AB104">
        <v>4000951</v>
      </c>
      <c r="AC104">
        <v>3954457</v>
      </c>
      <c r="AD104">
        <v>3924089</v>
      </c>
      <c r="AE104">
        <v>3894412</v>
      </c>
      <c r="AF104">
        <v>3865402</v>
      </c>
      <c r="AG104">
        <v>3837037</v>
      </c>
      <c r="AH104">
        <v>3809297</v>
      </c>
      <c r="AK104" s="3" t="str">
        <f ca="1">INDIRECT(ADDRESS(104,2))</f>
        <v>Coal</v>
      </c>
      <c r="AL104" s="3">
        <f ca="1">INDIRECT(ADDRESS(104,3))</f>
        <v>67364420</v>
      </c>
      <c r="AM104" s="4">
        <f ca="1">IFERROR(INDIRECT(ADDRESS(104,3)) / INDIRECT(ADDRESS(121,3)),0)</f>
        <v>3.0746741388516657E-2</v>
      </c>
      <c r="AN104" s="3">
        <f ca="1">INDIRECT(ADDRESS(104,9))</f>
        <v>4785705</v>
      </c>
      <c r="AO104" s="4">
        <f ca="1">IFERROR(INDIRECT(ADDRESS(104,9)) / INDIRECT(ADDRESS(121,9)),0)</f>
        <v>2.377631077490464E-3</v>
      </c>
      <c r="AP104" s="4">
        <f ca="1">IFERROR((INDIRECT(ADDRESS(104,9)) - INDIRECT(ADDRESS(104,3)))/ INDIRECT(ADDRESS(104,3)),1)</f>
        <v>-0.92895797217581622</v>
      </c>
      <c r="AQ104" s="3">
        <f ca="1">INDIRECT(ADDRESS(104,14))</f>
        <v>4515577</v>
      </c>
      <c r="AR104" s="4">
        <f ca="1">IFERROR(INDIRECT(ADDRESS(104,14)) / INDIRECT(ADDRESS(121,14)),0)</f>
        <v>2.6221007172744179E-3</v>
      </c>
      <c r="AS104" s="4">
        <f ca="1">IFERROR((INDIRECT(ADDRESS(104,14)) - INDIRECT(ADDRESS(104,3)))/ INDIRECT(ADDRESS(104,3)),1)</f>
        <v>-0.93296792282929175</v>
      </c>
      <c r="AT104" s="3">
        <f ca="1">INDIRECT(ADDRESS(104,19))</f>
        <v>4303292</v>
      </c>
      <c r="AU104" s="4">
        <f ca="1">IFERROR(INDIRECT(ADDRESS(104,19)) / INDIRECT(ADDRESS(121,19)),0)</f>
        <v>2.798872679538864E-3</v>
      </c>
      <c r="AV104" s="4">
        <f ca="1">IFERROR((INDIRECT(ADDRESS(104,19)) - INDIRECT(ADDRESS(104,3)))/ INDIRECT(ADDRESS(104,3)),1)</f>
        <v>-0.93611921545528043</v>
      </c>
      <c r="AW104" s="3">
        <f ca="1">INDIRECT(ADDRESS(104,24))</f>
        <v>4129570</v>
      </c>
      <c r="AX104" s="4">
        <f ca="1">IFERROR(INDIRECT(ADDRESS(104,24)) / INDIRECT(ADDRESS(121,24)),0)</f>
        <v>2.9725540277259579E-3</v>
      </c>
      <c r="AY104" s="4">
        <f ca="1">IFERROR((INDIRECT(ADDRESS(104,24)) - INDIRECT(ADDRESS(104,3)))/ INDIRECT(ADDRESS(104,3)),1)</f>
        <v>-0.93869805455164612</v>
      </c>
      <c r="AZ104" s="3">
        <f ca="1">INDIRECT(ADDRESS(104,29))</f>
        <v>3954457</v>
      </c>
      <c r="BA104" s="4">
        <f ca="1">IFERROR(INDIRECT(ADDRESS(104,29)) / INDIRECT(ADDRESS(121,29)),0)</f>
        <v>2.9978011624882204E-3</v>
      </c>
      <c r="BB104" s="4">
        <f ca="1">IFERROR((INDIRECT(ADDRESS(104,29)) - INDIRECT(ADDRESS(104,3)))/ INDIRECT(ADDRESS(104,3)),1)</f>
        <v>-0.94129754253061182</v>
      </c>
      <c r="BC104" s="3">
        <f ca="1">INDIRECT(ADDRESS(104,34))</f>
        <v>3809297</v>
      </c>
      <c r="BD104" s="4">
        <f ca="1">IFERROR(INDIRECT(ADDRESS(104,34)) / INDIRECT(ADDRESS(121,34)),0)</f>
        <v>2.9559548395820439E-3</v>
      </c>
      <c r="BE104" s="4">
        <f ca="1">IFERROR((INDIRECT(ADDRESS(104,34)) - INDIRECT(ADDRESS(104,3)))/ INDIRECT(ADDRESS(104,3)),1)</f>
        <v>-0.94345238925830577</v>
      </c>
    </row>
    <row r="105" spans="1:57" x14ac:dyDescent="0.25">
      <c r="A105" s="5"/>
      <c r="B105" s="1" t="s">
        <v>41</v>
      </c>
      <c r="C105">
        <v>216163500</v>
      </c>
      <c r="D105">
        <v>207066200</v>
      </c>
      <c r="E105">
        <v>197572400</v>
      </c>
      <c r="F105">
        <v>187851000</v>
      </c>
      <c r="G105">
        <v>178327300</v>
      </c>
      <c r="H105">
        <v>167075100</v>
      </c>
      <c r="I105">
        <v>156690800</v>
      </c>
      <c r="J105">
        <v>145680900</v>
      </c>
      <c r="K105">
        <v>135206700</v>
      </c>
      <c r="L105">
        <v>125008800</v>
      </c>
      <c r="M105">
        <v>115094200</v>
      </c>
      <c r="N105">
        <v>105629400</v>
      </c>
      <c r="O105">
        <v>96538940</v>
      </c>
      <c r="P105">
        <v>87864320</v>
      </c>
      <c r="Q105">
        <v>79431420</v>
      </c>
      <c r="R105">
        <v>71072400</v>
      </c>
      <c r="S105">
        <v>63188660</v>
      </c>
      <c r="T105">
        <v>58856150</v>
      </c>
      <c r="U105">
        <v>54599440</v>
      </c>
      <c r="V105">
        <v>50467150</v>
      </c>
      <c r="W105">
        <v>47151590</v>
      </c>
      <c r="X105">
        <v>43924840</v>
      </c>
      <c r="Y105">
        <v>42561830</v>
      </c>
      <c r="Z105">
        <v>41260250</v>
      </c>
      <c r="AA105">
        <v>40035240</v>
      </c>
      <c r="AB105">
        <v>38889810</v>
      </c>
      <c r="AC105">
        <v>37818410</v>
      </c>
      <c r="AD105">
        <v>36815590</v>
      </c>
      <c r="AE105">
        <v>35873330</v>
      </c>
      <c r="AF105">
        <v>34983240</v>
      </c>
      <c r="AG105">
        <v>34135170</v>
      </c>
      <c r="AH105">
        <v>33317610</v>
      </c>
      <c r="AK105" s="3" t="str">
        <f ca="1">INDIRECT(ADDRESS(105,2))</f>
        <v>Diesel</v>
      </c>
      <c r="AL105" s="3">
        <f ca="1">INDIRECT(ADDRESS(105,3))</f>
        <v>216163500</v>
      </c>
      <c r="AM105" s="4">
        <f ca="1">IFERROR(INDIRECT(ADDRESS(105,3)) / INDIRECT(ADDRESS(121,3)),0)</f>
        <v>9.866222008794287E-2</v>
      </c>
      <c r="AN105" s="3">
        <f ca="1">INDIRECT(ADDRESS(105,9))</f>
        <v>156690800</v>
      </c>
      <c r="AO105" s="4">
        <f ca="1">IFERROR(INDIRECT(ADDRESS(105,9)) / INDIRECT(ADDRESS(121,9)),0)</f>
        <v>7.7847028940739721E-2</v>
      </c>
      <c r="AP105" s="4">
        <f ca="1">IFERROR((INDIRECT(ADDRESS(105,9)) - INDIRECT(ADDRESS(105,3)))/ INDIRECT(ADDRESS(105,3)),1)</f>
        <v>-0.27512831722284292</v>
      </c>
      <c r="AQ105" s="3">
        <f ca="1">INDIRECT(ADDRESS(105,14))</f>
        <v>105629400</v>
      </c>
      <c r="AR105" s="4">
        <f ca="1">IFERROR(INDIRECT(ADDRESS(105,14)) / INDIRECT(ADDRESS(121,14)),0)</f>
        <v>6.1336773906250822E-2</v>
      </c>
      <c r="AS105" s="4">
        <f ca="1">IFERROR((INDIRECT(ADDRESS(105,14)) - INDIRECT(ADDRESS(105,3)))/ INDIRECT(ADDRESS(105,3)),1)</f>
        <v>-0.51134488477471918</v>
      </c>
      <c r="AT105" s="3">
        <f ca="1">INDIRECT(ADDRESS(105,19))</f>
        <v>63188660</v>
      </c>
      <c r="AU105" s="4">
        <f ca="1">IFERROR(INDIRECT(ADDRESS(105,19)) / INDIRECT(ADDRESS(121,19)),0)</f>
        <v>4.1098074248893696E-2</v>
      </c>
      <c r="AV105" s="4">
        <f ca="1">IFERROR((INDIRECT(ADDRESS(105,19)) - INDIRECT(ADDRESS(105,3)))/ INDIRECT(ADDRESS(105,3)),1)</f>
        <v>-0.70768117651684948</v>
      </c>
      <c r="AW105" s="3">
        <f ca="1">INDIRECT(ADDRESS(105,24))</f>
        <v>43924840</v>
      </c>
      <c r="AX105" s="4">
        <f ca="1">IFERROR(INDIRECT(ADDRESS(105,24)) / INDIRECT(ADDRESS(121,24)),0)</f>
        <v>3.1618052257067507E-2</v>
      </c>
      <c r="AY105" s="4">
        <f ca="1">IFERROR((INDIRECT(ADDRESS(105,24)) - INDIRECT(ADDRESS(105,3)))/ INDIRECT(ADDRESS(105,3)),1)</f>
        <v>-0.79679807182988804</v>
      </c>
      <c r="AZ105" s="3">
        <f ca="1">INDIRECT(ADDRESS(105,29))</f>
        <v>37818410</v>
      </c>
      <c r="BA105" s="4">
        <f ca="1">IFERROR(INDIRECT(ADDRESS(105,29)) / INDIRECT(ADDRESS(121,29)),0)</f>
        <v>2.8669441458449574E-2</v>
      </c>
      <c r="BB105" s="4">
        <f ca="1">IFERROR((INDIRECT(ADDRESS(105,29)) - INDIRECT(ADDRESS(105,3)))/ INDIRECT(ADDRESS(105,3)),1)</f>
        <v>-0.82504719806997939</v>
      </c>
      <c r="BC105" s="3">
        <f ca="1">INDIRECT(ADDRESS(105,34))</f>
        <v>33317610</v>
      </c>
      <c r="BD105" s="4">
        <f ca="1">IFERROR(INDIRECT(ADDRESS(105,34)) / INDIRECT(ADDRESS(121,34)),0)</f>
        <v>2.5853943791415344E-2</v>
      </c>
      <c r="BE105" s="4">
        <f ca="1">IFERROR((INDIRECT(ADDRESS(105,34)) - INDIRECT(ADDRESS(105,3)))/ INDIRECT(ADDRESS(105,3)),1)</f>
        <v>-0.84586847455745307</v>
      </c>
    </row>
    <row r="106" spans="1:57" x14ac:dyDescent="0.25">
      <c r="A106" s="5"/>
      <c r="B106" s="1" t="s">
        <v>42</v>
      </c>
      <c r="C106">
        <v>93733824.84300001</v>
      </c>
      <c r="D106">
        <v>93716900.101000011</v>
      </c>
      <c r="E106">
        <v>93653034.126000002</v>
      </c>
      <c r="F106">
        <v>93589069.893000007</v>
      </c>
      <c r="G106">
        <v>91940874.759000003</v>
      </c>
      <c r="H106">
        <v>90255664.097000003</v>
      </c>
      <c r="I106">
        <v>87424219.785999998</v>
      </c>
      <c r="J106">
        <v>84611550.837000012</v>
      </c>
      <c r="K106">
        <v>81847675.214999989</v>
      </c>
      <c r="L106">
        <v>79119577.732999995</v>
      </c>
      <c r="M106">
        <v>76414481.015000001</v>
      </c>
      <c r="N106">
        <v>73585671.416999996</v>
      </c>
      <c r="O106">
        <v>70874370.104499996</v>
      </c>
      <c r="P106">
        <v>68221546.452199996</v>
      </c>
      <c r="Q106">
        <v>65648718.665200002</v>
      </c>
      <c r="R106">
        <v>63167496.67165</v>
      </c>
      <c r="S106">
        <v>60782618.83963</v>
      </c>
      <c r="T106">
        <v>58545220.883610003</v>
      </c>
      <c r="U106">
        <v>56397705.030929998</v>
      </c>
      <c r="V106">
        <v>54335376.613370001</v>
      </c>
      <c r="W106">
        <v>52351740.194049999</v>
      </c>
      <c r="X106">
        <v>50437499.025169998</v>
      </c>
      <c r="Y106">
        <v>48546207.563299999</v>
      </c>
      <c r="Z106">
        <v>46714707.593869999</v>
      </c>
      <c r="AA106">
        <v>44938179.012879997</v>
      </c>
      <c r="AB106">
        <v>43212047.721500002</v>
      </c>
      <c r="AC106">
        <v>41472649.469609998</v>
      </c>
      <c r="AD106">
        <v>39806359.056769997</v>
      </c>
      <c r="AE106">
        <v>38179527.770640001</v>
      </c>
      <c r="AF106">
        <v>36589360.939159997</v>
      </c>
      <c r="AG106">
        <v>35033855.195699997</v>
      </c>
      <c r="AH106">
        <v>33511606.14683</v>
      </c>
      <c r="AK106" s="3" t="str">
        <f ca="1">INDIRECT(ADDRESS(106,2))</f>
        <v>Fuel Oil</v>
      </c>
      <c r="AL106" s="3">
        <f ca="1">INDIRECT(ADDRESS(106,3))</f>
        <v>93733824.84300001</v>
      </c>
      <c r="AM106" s="4">
        <f ca="1">IFERROR(INDIRECT(ADDRESS(106,3)) / INDIRECT(ADDRESS(121,3)),0)</f>
        <v>4.2782371937652539E-2</v>
      </c>
      <c r="AN106" s="3">
        <f ca="1">INDIRECT(ADDRESS(106,9))</f>
        <v>87424219.785999998</v>
      </c>
      <c r="AO106" s="4">
        <f ca="1">IFERROR(INDIRECT(ADDRESS(106,9)) / INDIRECT(ADDRESS(121,9)),0)</f>
        <v>4.3434048251731007E-2</v>
      </c>
      <c r="AP106" s="4">
        <f ca="1">IFERROR((INDIRECT(ADDRESS(106,9)) - INDIRECT(ADDRESS(106,3)))/ INDIRECT(ADDRESS(106,3)),1)</f>
        <v>-6.7314067974589956E-2</v>
      </c>
      <c r="AQ106" s="3">
        <f ca="1">INDIRECT(ADDRESS(106,14))</f>
        <v>73585671.416999996</v>
      </c>
      <c r="AR106" s="4">
        <f ca="1">IFERROR(INDIRECT(ADDRESS(106,14)) / INDIRECT(ADDRESS(121,14)),0)</f>
        <v>4.2729653774841024E-2</v>
      </c>
      <c r="AS106" s="4">
        <f ca="1">IFERROR((INDIRECT(ADDRESS(106,14)) - INDIRECT(ADDRESS(106,3)))/ INDIRECT(ADDRESS(106,3)),1)</f>
        <v>-0.2149507230687244</v>
      </c>
      <c r="AT106" s="3">
        <f ca="1">INDIRECT(ADDRESS(106,19))</f>
        <v>60782618.83963</v>
      </c>
      <c r="AU106" s="4">
        <f ca="1">IFERROR(INDIRECT(ADDRESS(106,19)) / INDIRECT(ADDRESS(121,19)),0)</f>
        <v>3.9533178613272039E-2</v>
      </c>
      <c r="AV106" s="4">
        <f ca="1">IFERROR((INDIRECT(ADDRESS(106,19)) - INDIRECT(ADDRESS(106,3)))/ INDIRECT(ADDRESS(106,3)),1)</f>
        <v>-0.35154018369101886</v>
      </c>
      <c r="AW106" s="3">
        <f ca="1">INDIRECT(ADDRESS(106,24))</f>
        <v>50437499.025169998</v>
      </c>
      <c r="AX106" s="4">
        <f ca="1">IFERROR(INDIRECT(ADDRESS(106,24)) / INDIRECT(ADDRESS(121,24)),0)</f>
        <v>3.6306005437780002E-2</v>
      </c>
      <c r="AY106" s="4">
        <f ca="1">IFERROR((INDIRECT(ADDRESS(106,24)) - INDIRECT(ADDRESS(106,3)))/ INDIRECT(ADDRESS(106,3)),1)</f>
        <v>-0.46190717054755243</v>
      </c>
      <c r="AZ106" s="3">
        <f ca="1">INDIRECT(ADDRESS(106,29))</f>
        <v>41472649.469609998</v>
      </c>
      <c r="BA106" s="4">
        <f ca="1">IFERROR(INDIRECT(ADDRESS(106,29)) / INDIRECT(ADDRESS(121,29)),0)</f>
        <v>3.1439653229625032E-2</v>
      </c>
      <c r="BB106" s="4">
        <f ca="1">IFERROR((INDIRECT(ADDRESS(106,29)) - INDIRECT(ADDRESS(106,3)))/ INDIRECT(ADDRESS(106,3)),1)</f>
        <v>-0.55754873399143967</v>
      </c>
      <c r="BC106" s="3">
        <f ca="1">INDIRECT(ADDRESS(106,34))</f>
        <v>33511606.14683</v>
      </c>
      <c r="BD106" s="4">
        <f ca="1">IFERROR(INDIRECT(ADDRESS(106,34)) / INDIRECT(ADDRESS(121,34)),0)</f>
        <v>2.6004481764454048E-2</v>
      </c>
      <c r="BE106" s="4">
        <f ca="1">IFERROR((INDIRECT(ADDRESS(106,34)) - INDIRECT(ADDRESS(106,3)))/ INDIRECT(ADDRESS(106,3)),1)</f>
        <v>-0.64248118325523951</v>
      </c>
    </row>
    <row r="107" spans="1:57" x14ac:dyDescent="0.25">
      <c r="A107" s="5"/>
      <c r="B107" s="1" t="s">
        <v>43</v>
      </c>
      <c r="C107">
        <v>344926100</v>
      </c>
      <c r="D107">
        <v>344177300</v>
      </c>
      <c r="E107">
        <v>329323000</v>
      </c>
      <c r="F107">
        <v>312288500</v>
      </c>
      <c r="G107">
        <v>296353600</v>
      </c>
      <c r="H107">
        <v>276729600</v>
      </c>
      <c r="I107">
        <v>246714800</v>
      </c>
      <c r="J107">
        <v>225111800</v>
      </c>
      <c r="K107">
        <v>202024400</v>
      </c>
      <c r="L107">
        <v>178511700</v>
      </c>
      <c r="M107">
        <v>156075300</v>
      </c>
      <c r="N107">
        <v>136612500</v>
      </c>
      <c r="O107">
        <v>120095500</v>
      </c>
      <c r="P107">
        <v>105835400</v>
      </c>
      <c r="Q107">
        <v>92930430</v>
      </c>
      <c r="R107">
        <v>78802110</v>
      </c>
      <c r="S107">
        <v>66993620</v>
      </c>
      <c r="T107">
        <v>58494170</v>
      </c>
      <c r="U107">
        <v>50048760</v>
      </c>
      <c r="V107">
        <v>42094830</v>
      </c>
      <c r="W107">
        <v>35416690</v>
      </c>
      <c r="X107">
        <v>29467150</v>
      </c>
      <c r="Y107">
        <v>24157510</v>
      </c>
      <c r="Z107">
        <v>19328200</v>
      </c>
      <c r="AA107">
        <v>15116050</v>
      </c>
      <c r="AB107">
        <v>11550030</v>
      </c>
      <c r="AC107">
        <v>8584650</v>
      </c>
      <c r="AD107">
        <v>6165961</v>
      </c>
      <c r="AE107">
        <v>4237493</v>
      </c>
      <c r="AF107">
        <v>2724187</v>
      </c>
      <c r="AG107">
        <v>1535964</v>
      </c>
      <c r="AH107">
        <v>571681.4</v>
      </c>
      <c r="AK107" s="3" t="str">
        <f ca="1">INDIRECT(ADDRESS(107,2))</f>
        <v>Gasoline</v>
      </c>
      <c r="AL107" s="3">
        <f ca="1">INDIRECT(ADDRESS(107,3))</f>
        <v>344926100</v>
      </c>
      <c r="AM107" s="4">
        <f ca="1">IFERROR(INDIRECT(ADDRESS(107,3)) / INDIRECT(ADDRESS(121,3)),0)</f>
        <v>0.15743256744212503</v>
      </c>
      <c r="AN107" s="3">
        <f ca="1">INDIRECT(ADDRESS(107,9))</f>
        <v>246714800</v>
      </c>
      <c r="AO107" s="4">
        <f ca="1">IFERROR(INDIRECT(ADDRESS(107,9)) / INDIRECT(ADDRESS(121,9)),0)</f>
        <v>0.12257269843353161</v>
      </c>
      <c r="AP107" s="4">
        <f ca="1">IFERROR((INDIRECT(ADDRESS(107,9)) - INDIRECT(ADDRESS(107,3)))/ INDIRECT(ADDRESS(107,3)),1)</f>
        <v>-0.28473142507916915</v>
      </c>
      <c r="AQ107" s="3">
        <f ca="1">INDIRECT(ADDRESS(107,14))</f>
        <v>136612500</v>
      </c>
      <c r="AR107" s="4">
        <f ca="1">IFERROR(INDIRECT(ADDRESS(107,14)) / INDIRECT(ADDRESS(121,14)),0)</f>
        <v>7.9328009297294985E-2</v>
      </c>
      <c r="AS107" s="4">
        <f ca="1">IFERROR((INDIRECT(ADDRESS(107,14)) - INDIRECT(ADDRESS(107,3)))/ INDIRECT(ADDRESS(107,3)),1)</f>
        <v>-0.6039369012666771</v>
      </c>
      <c r="AT107" s="3">
        <f ca="1">INDIRECT(ADDRESS(107,19))</f>
        <v>66993620</v>
      </c>
      <c r="AU107" s="4">
        <f ca="1">IFERROR(INDIRECT(ADDRESS(107,19)) / INDIRECT(ADDRESS(121,19)),0)</f>
        <v>4.3572830456638414E-2</v>
      </c>
      <c r="AV107" s="4">
        <f ca="1">IFERROR((INDIRECT(ADDRESS(107,19)) - INDIRECT(ADDRESS(107,3)))/ INDIRECT(ADDRESS(107,3)),1)</f>
        <v>-0.80577399042867448</v>
      </c>
      <c r="AW107" s="3">
        <f ca="1">INDIRECT(ADDRESS(107,24))</f>
        <v>29467150</v>
      </c>
      <c r="AX107" s="4">
        <f ca="1">IFERROR(INDIRECT(ADDRESS(107,24)) / INDIRECT(ADDRESS(121,24)),0)</f>
        <v>2.1211093508066204E-2</v>
      </c>
      <c r="AY107" s="4">
        <f ca="1">IFERROR((INDIRECT(ADDRESS(107,24)) - INDIRECT(ADDRESS(107,3)))/ INDIRECT(ADDRESS(107,3)),1)</f>
        <v>-0.91456967159052327</v>
      </c>
      <c r="AZ107" s="3">
        <f ca="1">INDIRECT(ADDRESS(107,29))</f>
        <v>8584650</v>
      </c>
      <c r="BA107" s="4">
        <f ca="1">IFERROR(INDIRECT(ADDRESS(107,29)) / INDIRECT(ADDRESS(121,29)),0)</f>
        <v>6.5078653654735653E-3</v>
      </c>
      <c r="BB107" s="4">
        <f ca="1">IFERROR((INDIRECT(ADDRESS(107,29)) - INDIRECT(ADDRESS(107,3)))/ INDIRECT(ADDRESS(107,3)),1)</f>
        <v>-0.97511162535975093</v>
      </c>
      <c r="BC107" s="3">
        <f ca="1">INDIRECT(ADDRESS(107,34))</f>
        <v>571681.4</v>
      </c>
      <c r="BD107" s="4">
        <f ca="1">IFERROR(INDIRECT(ADDRESS(107,34)) / INDIRECT(ADDRESS(121,34)),0)</f>
        <v>4.4361581704683E-4</v>
      </c>
      <c r="BE107" s="4">
        <f ca="1">IFERROR((INDIRECT(ADDRESS(107,34)) - INDIRECT(ADDRESS(107,3)))/ INDIRECT(ADDRESS(107,3)),1)</f>
        <v>-0.99834259744333653</v>
      </c>
    </row>
    <row r="108" spans="1:57" x14ac:dyDescent="0.25">
      <c r="A108" s="5"/>
      <c r="B108" s="1" t="s">
        <v>101</v>
      </c>
      <c r="C108">
        <v>18826570</v>
      </c>
      <c r="D108">
        <v>18861950</v>
      </c>
      <c r="E108">
        <v>19440780</v>
      </c>
      <c r="F108">
        <v>20760890</v>
      </c>
      <c r="G108">
        <v>22477050</v>
      </c>
      <c r="H108">
        <v>24904710</v>
      </c>
      <c r="I108">
        <v>27643050</v>
      </c>
      <c r="J108">
        <v>30541350</v>
      </c>
      <c r="K108">
        <v>33635860</v>
      </c>
      <c r="L108">
        <v>37173040</v>
      </c>
      <c r="M108">
        <v>41398390</v>
      </c>
      <c r="N108">
        <v>46083170</v>
      </c>
      <c r="O108">
        <v>51120480</v>
      </c>
      <c r="P108">
        <v>55886980</v>
      </c>
      <c r="Q108">
        <v>59829690</v>
      </c>
      <c r="R108">
        <v>62621370</v>
      </c>
      <c r="S108">
        <v>64094700</v>
      </c>
      <c r="T108">
        <v>64175810</v>
      </c>
      <c r="U108">
        <v>63014770</v>
      </c>
      <c r="V108">
        <v>60772710</v>
      </c>
      <c r="W108">
        <v>57891370</v>
      </c>
      <c r="X108">
        <v>54442160</v>
      </c>
      <c r="Y108">
        <v>54086110</v>
      </c>
      <c r="Z108">
        <v>54188870</v>
      </c>
      <c r="AA108">
        <v>54122270</v>
      </c>
      <c r="AB108">
        <v>53923830</v>
      </c>
      <c r="AC108">
        <v>53614730</v>
      </c>
      <c r="AD108">
        <v>53192680</v>
      </c>
      <c r="AE108">
        <v>52721840</v>
      </c>
      <c r="AF108">
        <v>52210740</v>
      </c>
      <c r="AG108">
        <v>51746320</v>
      </c>
      <c r="AH108">
        <v>51280850</v>
      </c>
      <c r="AK108" s="3" t="str">
        <f ca="1">INDIRECT(ADDRESS(108,2))</f>
        <v>Geothermal</v>
      </c>
      <c r="AL108" s="3">
        <f ca="1">INDIRECT(ADDRESS(108,3))</f>
        <v>18826570</v>
      </c>
      <c r="AM108" s="4">
        <f ca="1">IFERROR(INDIRECT(ADDRESS(108,3)) / INDIRECT(ADDRESS(121,3)),0)</f>
        <v>8.5928993231561418E-3</v>
      </c>
      <c r="AN108" s="3">
        <f ca="1">INDIRECT(ADDRESS(108,9))</f>
        <v>27643050</v>
      </c>
      <c r="AO108" s="4">
        <f ca="1">IFERROR(INDIRECT(ADDRESS(108,9)) / INDIRECT(ADDRESS(121,9)),0)</f>
        <v>1.3733603462106999E-2</v>
      </c>
      <c r="AP108" s="4">
        <f ca="1">IFERROR((INDIRECT(ADDRESS(108,9)) - INDIRECT(ADDRESS(108,3)))/ INDIRECT(ADDRESS(108,3)),1)</f>
        <v>0.4682998549390569</v>
      </c>
      <c r="AQ108" s="3">
        <f ca="1">INDIRECT(ADDRESS(108,14))</f>
        <v>46083170</v>
      </c>
      <c r="AR108" s="4">
        <f ca="1">IFERROR(INDIRECT(ADDRESS(108,14)) / INDIRECT(ADDRESS(121,14)),0)</f>
        <v>2.6759528873337546E-2</v>
      </c>
      <c r="AS108" s="4">
        <f ca="1">IFERROR((INDIRECT(ADDRESS(108,14)) - INDIRECT(ADDRESS(108,3)))/ INDIRECT(ADDRESS(108,3)),1)</f>
        <v>1.4477730144152652</v>
      </c>
      <c r="AT108" s="3">
        <f ca="1">INDIRECT(ADDRESS(108,19))</f>
        <v>64094700</v>
      </c>
      <c r="AU108" s="4">
        <f ca="1">IFERROR(INDIRECT(ADDRESS(108,19)) / INDIRECT(ADDRESS(121,19)),0)</f>
        <v>4.1687365099379647E-2</v>
      </c>
      <c r="AV108" s="4">
        <f ca="1">IFERROR((INDIRECT(ADDRESS(108,19)) - INDIRECT(ADDRESS(108,3)))/ INDIRECT(ADDRESS(108,3)),1)</f>
        <v>2.4044810074272691</v>
      </c>
      <c r="AW108" s="3">
        <f ca="1">INDIRECT(ADDRESS(108,24))</f>
        <v>54442160</v>
      </c>
      <c r="AX108" s="4">
        <f ca="1">IFERROR(INDIRECT(ADDRESS(108,24)) / INDIRECT(ADDRESS(121,24)),0)</f>
        <v>3.9188647240778349E-2</v>
      </c>
      <c r="AY108" s="4">
        <f ca="1">IFERROR((INDIRECT(ADDRESS(108,24)) - INDIRECT(ADDRESS(108,3)))/ INDIRECT(ADDRESS(108,3)),1)</f>
        <v>1.8917726383510114</v>
      </c>
      <c r="AZ108" s="3">
        <f ca="1">INDIRECT(ADDRESS(108,29))</f>
        <v>53614730</v>
      </c>
      <c r="BA108" s="4">
        <f ca="1">IFERROR(INDIRECT(ADDRESS(108,29)) / INDIRECT(ADDRESS(121,29)),0)</f>
        <v>4.0644341288953716E-2</v>
      </c>
      <c r="BB108" s="4">
        <f ca="1">IFERROR((INDIRECT(ADDRESS(108,29)) - INDIRECT(ADDRESS(108,3)))/ INDIRECT(ADDRESS(108,3)),1)</f>
        <v>1.8478225189187409</v>
      </c>
      <c r="BC108" s="3">
        <f ca="1">INDIRECT(ADDRESS(108,34))</f>
        <v>51280850</v>
      </c>
      <c r="BD108" s="4">
        <f ca="1">IFERROR(INDIRECT(ADDRESS(108,34)) / INDIRECT(ADDRESS(121,34)),0)</f>
        <v>3.9793136826921309E-2</v>
      </c>
      <c r="BE108" s="4">
        <f ca="1">IFERROR((INDIRECT(ADDRESS(108,34)) - INDIRECT(ADDRESS(108,3)))/ INDIRECT(ADDRESS(108,3)),1)</f>
        <v>1.72385516851981</v>
      </c>
    </row>
    <row r="109" spans="1:57" x14ac:dyDescent="0.25">
      <c r="A109" s="5"/>
      <c r="B109" s="1" t="s">
        <v>44</v>
      </c>
      <c r="C109">
        <v>321326760.80000001</v>
      </c>
      <c r="D109">
        <v>322598370.69999999</v>
      </c>
      <c r="E109">
        <v>327468253.83279997</v>
      </c>
      <c r="F109">
        <v>332723805.80650002</v>
      </c>
      <c r="G109">
        <v>335957150.39999998</v>
      </c>
      <c r="H109">
        <v>337584184.60000002</v>
      </c>
      <c r="I109">
        <v>338763241.30000001</v>
      </c>
      <c r="J109">
        <v>338391161.10000002</v>
      </c>
      <c r="K109">
        <v>338414217.5</v>
      </c>
      <c r="L109">
        <v>338768194.69999999</v>
      </c>
      <c r="M109">
        <v>340142825.5</v>
      </c>
      <c r="N109">
        <v>341701845</v>
      </c>
      <c r="O109">
        <v>341833760.69999999</v>
      </c>
      <c r="P109">
        <v>341229704.39999998</v>
      </c>
      <c r="Q109">
        <v>339943100.10000002</v>
      </c>
      <c r="R109">
        <v>337971505</v>
      </c>
      <c r="S109">
        <v>336358247</v>
      </c>
      <c r="T109">
        <v>336027126.80000001</v>
      </c>
      <c r="U109">
        <v>335031448.39999998</v>
      </c>
      <c r="V109">
        <v>333072336.30000001</v>
      </c>
      <c r="W109">
        <v>329859978.5</v>
      </c>
      <c r="X109">
        <v>326236307.30000001</v>
      </c>
      <c r="Y109">
        <v>329734178</v>
      </c>
      <c r="Z109">
        <v>333570154.30000001</v>
      </c>
      <c r="AA109">
        <v>337224189.5</v>
      </c>
      <c r="AB109">
        <v>340496323.30000001</v>
      </c>
      <c r="AC109">
        <v>344278848.30000001</v>
      </c>
      <c r="AD109">
        <v>347324196.89999998</v>
      </c>
      <c r="AE109">
        <v>350136125.30000001</v>
      </c>
      <c r="AF109">
        <v>352757213</v>
      </c>
      <c r="AG109">
        <v>354895688.30000001</v>
      </c>
      <c r="AH109">
        <v>357683310</v>
      </c>
      <c r="AK109" s="3" t="str">
        <f ca="1">INDIRECT(ADDRESS(109,2))</f>
        <v>Grid Electricity</v>
      </c>
      <c r="AL109" s="3">
        <f ca="1">INDIRECT(ADDRESS(109,3))</f>
        <v>321326760.80000001</v>
      </c>
      <c r="AM109" s="4">
        <f ca="1">IFERROR(INDIRECT(ADDRESS(109,3)) / INDIRECT(ADDRESS(121,3)),0)</f>
        <v>0.14666126147196626</v>
      </c>
      <c r="AN109" s="3">
        <f ca="1">INDIRECT(ADDRESS(109,9))</f>
        <v>338763241.30000001</v>
      </c>
      <c r="AO109" s="4">
        <f ca="1">IFERROR(INDIRECT(ADDRESS(109,9)) / INDIRECT(ADDRESS(121,9)),0)</f>
        <v>0.16830414963443863</v>
      </c>
      <c r="AP109" s="4">
        <f ca="1">IFERROR((INDIRECT(ADDRESS(109,9)) - INDIRECT(ADDRESS(109,3)))/ INDIRECT(ADDRESS(109,3)),1)</f>
        <v>5.426401603336363E-2</v>
      </c>
      <c r="AQ109" s="3">
        <f ca="1">INDIRECT(ADDRESS(109,14))</f>
        <v>341701845</v>
      </c>
      <c r="AR109" s="4">
        <f ca="1">IFERROR(INDIRECT(ADDRESS(109,14)) / INDIRECT(ADDRESS(121,14)),0)</f>
        <v>0.19841908417650544</v>
      </c>
      <c r="AS109" s="4">
        <f ca="1">IFERROR((INDIRECT(ADDRESS(109,14)) - INDIRECT(ADDRESS(109,3)))/ INDIRECT(ADDRESS(109,3)),1)</f>
        <v>6.3409235350559034E-2</v>
      </c>
      <c r="AT109" s="3">
        <f ca="1">INDIRECT(ADDRESS(109,19))</f>
        <v>336358247</v>
      </c>
      <c r="AU109" s="4">
        <f ca="1">IFERROR(INDIRECT(ADDRESS(109,19)) / INDIRECT(ADDRESS(121,19)),0)</f>
        <v>0.21876830762725027</v>
      </c>
      <c r="AV109" s="4">
        <f ca="1">IFERROR((INDIRECT(ADDRESS(109,19)) - INDIRECT(ADDRESS(109,3)))/ INDIRECT(ADDRESS(109,3)),1)</f>
        <v>4.6779440848861868E-2</v>
      </c>
      <c r="AW109" s="3">
        <f ca="1">INDIRECT(ADDRESS(109,24))</f>
        <v>326236307.30000001</v>
      </c>
      <c r="AX109" s="4">
        <f ca="1">IFERROR(INDIRECT(ADDRESS(109,24)) / INDIRECT(ADDRESS(121,24)),0)</f>
        <v>0.23483196779690338</v>
      </c>
      <c r="AY109" s="4">
        <f ca="1">IFERROR((INDIRECT(ADDRESS(109,24)) - INDIRECT(ADDRESS(109,3)))/ INDIRECT(ADDRESS(109,3)),1)</f>
        <v>1.5278984195953093E-2</v>
      </c>
      <c r="AZ109" s="3">
        <f ca="1">INDIRECT(ADDRESS(109,29))</f>
        <v>344278848.30000001</v>
      </c>
      <c r="BA109" s="4">
        <f ca="1">IFERROR(INDIRECT(ADDRESS(109,29)) / INDIRECT(ADDRESS(121,29)),0)</f>
        <v>0.26099146650320021</v>
      </c>
      <c r="BB109" s="4">
        <f ca="1">IFERROR((INDIRECT(ADDRESS(109,29)) - INDIRECT(ADDRESS(109,3)))/ INDIRECT(ADDRESS(109,3)),1)</f>
        <v>7.1429119202075494E-2</v>
      </c>
      <c r="BC109" s="3">
        <f ca="1">INDIRECT(ADDRESS(109,34))</f>
        <v>357683310</v>
      </c>
      <c r="BD109" s="4">
        <f ca="1">IFERROR(INDIRECT(ADDRESS(109,34)) / INDIRECT(ADDRESS(121,34)),0)</f>
        <v>0.27755664922746232</v>
      </c>
      <c r="BE109" s="4">
        <f ca="1">IFERROR((INDIRECT(ADDRESS(109,34)) - INDIRECT(ADDRESS(109,3)))/ INDIRECT(ADDRESS(109,3)),1)</f>
        <v>0.11314510223015321</v>
      </c>
    </row>
    <row r="110" spans="1:57" x14ac:dyDescent="0.25">
      <c r="A110" s="5"/>
      <c r="B110" s="1" t="s">
        <v>102</v>
      </c>
      <c r="C110">
        <v>0</v>
      </c>
      <c r="D110">
        <v>366293.1</v>
      </c>
      <c r="E110">
        <v>927074</v>
      </c>
      <c r="F110">
        <v>1469736</v>
      </c>
      <c r="G110">
        <v>1994255</v>
      </c>
      <c r="H110">
        <v>2500814</v>
      </c>
      <c r="I110">
        <v>3111676.4</v>
      </c>
      <c r="J110">
        <v>3572822</v>
      </c>
      <c r="K110">
        <v>4014790.6</v>
      </c>
      <c r="L110">
        <v>4445785.2</v>
      </c>
      <c r="M110">
        <v>4869029.8</v>
      </c>
      <c r="N110">
        <v>5288718.4000000004</v>
      </c>
      <c r="O110">
        <v>5703101.4000000004</v>
      </c>
      <c r="P110">
        <v>6117583.5</v>
      </c>
      <c r="Q110">
        <v>6532501.5</v>
      </c>
      <c r="R110">
        <v>6947700.5999999996</v>
      </c>
      <c r="S110">
        <v>7363015.5999999996</v>
      </c>
      <c r="T110">
        <v>7778388.5999999996</v>
      </c>
      <c r="U110">
        <v>8194068.5</v>
      </c>
      <c r="V110">
        <v>8610171.5</v>
      </c>
      <c r="W110">
        <v>9026651.5</v>
      </c>
      <c r="X110">
        <v>9443377.4000000004</v>
      </c>
      <c r="Y110">
        <v>9854707.9000000004</v>
      </c>
      <c r="Z110">
        <v>10265132.300000001</v>
      </c>
      <c r="AA110">
        <v>10674290.699999999</v>
      </c>
      <c r="AB110">
        <v>11081689.1</v>
      </c>
      <c r="AC110">
        <v>11486827.5</v>
      </c>
      <c r="AD110">
        <v>11893438.9</v>
      </c>
      <c r="AE110">
        <v>12297300.4</v>
      </c>
      <c r="AF110">
        <v>12698191.800000001</v>
      </c>
      <c r="AG110">
        <v>13096013.199999999</v>
      </c>
      <c r="AH110">
        <v>13490694.6</v>
      </c>
      <c r="AK110" s="3" t="str">
        <f ca="1">INDIRECT(ADDRESS(110,2))</f>
        <v>Hydrogen</v>
      </c>
      <c r="AL110" s="3">
        <f ca="1">INDIRECT(ADDRESS(110,3))</f>
        <v>0</v>
      </c>
      <c r="AM110" s="4">
        <f ca="1">IFERROR(INDIRECT(ADDRESS(110,3)) / INDIRECT(ADDRESS(121,3)),0)</f>
        <v>0</v>
      </c>
      <c r="AN110" s="3">
        <f ca="1">INDIRECT(ADDRESS(110,9))</f>
        <v>3111676.4</v>
      </c>
      <c r="AO110" s="4">
        <f ca="1">IFERROR(INDIRECT(ADDRESS(110,9)) / INDIRECT(ADDRESS(121,9)),0)</f>
        <v>1.5459411960690532E-3</v>
      </c>
      <c r="AP110" s="4">
        <f ca="1">IFERROR((INDIRECT(ADDRESS(110,9)) - INDIRECT(ADDRESS(110,3)))/ INDIRECT(ADDRESS(110,3)),1)</f>
        <v>1</v>
      </c>
      <c r="AQ110" s="3">
        <f ca="1">INDIRECT(ADDRESS(110,14))</f>
        <v>5288718.4000000004</v>
      </c>
      <c r="AR110" s="4">
        <f ca="1">IFERROR(INDIRECT(ADDRESS(110,14)) / INDIRECT(ADDRESS(121,14)),0)</f>
        <v>3.0710476889448265E-3</v>
      </c>
      <c r="AS110" s="4">
        <f ca="1">IFERROR((INDIRECT(ADDRESS(110,14)) - INDIRECT(ADDRESS(110,3)))/ INDIRECT(ADDRESS(110,3)),1)</f>
        <v>1</v>
      </c>
      <c r="AT110" s="3">
        <f ca="1">INDIRECT(ADDRESS(110,19))</f>
        <v>7363015.5999999996</v>
      </c>
      <c r="AU110" s="4">
        <f ca="1">IFERROR(INDIRECT(ADDRESS(110,19)) / INDIRECT(ADDRESS(121,19)),0)</f>
        <v>4.7889251303091813E-3</v>
      </c>
      <c r="AV110" s="4">
        <f ca="1">IFERROR((INDIRECT(ADDRESS(110,19)) - INDIRECT(ADDRESS(110,3)))/ INDIRECT(ADDRESS(110,3)),1)</f>
        <v>1</v>
      </c>
      <c r="AW110" s="3">
        <f ca="1">INDIRECT(ADDRESS(110,24))</f>
        <v>9443377.4000000004</v>
      </c>
      <c r="AX110" s="4">
        <f ca="1">IFERROR(INDIRECT(ADDRESS(110,24)) / INDIRECT(ADDRESS(121,24)),0)</f>
        <v>6.7975478138659192E-3</v>
      </c>
      <c r="AY110" s="4">
        <f ca="1">IFERROR((INDIRECT(ADDRESS(110,24)) - INDIRECT(ADDRESS(110,3)))/ INDIRECT(ADDRESS(110,3)),1)</f>
        <v>1</v>
      </c>
      <c r="AZ110" s="3">
        <f ca="1">INDIRECT(ADDRESS(110,29))</f>
        <v>11486827.5</v>
      </c>
      <c r="BA110" s="4">
        <f ca="1">IFERROR(INDIRECT(ADDRESS(110,29)) / INDIRECT(ADDRESS(121,29)),0)</f>
        <v>8.7079527815833273E-3</v>
      </c>
      <c r="BB110" s="4">
        <f ca="1">IFERROR((INDIRECT(ADDRESS(110,29)) - INDIRECT(ADDRESS(110,3)))/ INDIRECT(ADDRESS(110,3)),1)</f>
        <v>1</v>
      </c>
      <c r="BC110" s="3">
        <f ca="1">INDIRECT(ADDRESS(110,34))</f>
        <v>13490694.6</v>
      </c>
      <c r="BD110" s="4">
        <f ca="1">IFERROR(INDIRECT(ADDRESS(110,34)) / INDIRECT(ADDRESS(121,34)),0)</f>
        <v>1.0468567820307355E-2</v>
      </c>
      <c r="BE110" s="4">
        <f ca="1">IFERROR((INDIRECT(ADDRESS(110,34)) - INDIRECT(ADDRESS(110,3)))/ INDIRECT(ADDRESS(110,3)),1)</f>
        <v>1</v>
      </c>
    </row>
    <row r="111" spans="1:57" x14ac:dyDescent="0.25">
      <c r="A111" s="5"/>
      <c r="B111" s="1" t="s">
        <v>103</v>
      </c>
      <c r="C111">
        <v>610090.47</v>
      </c>
      <c r="D111">
        <v>610090.47199999995</v>
      </c>
      <c r="E111">
        <v>610090.47345199995</v>
      </c>
      <c r="F111">
        <v>610090.46515800001</v>
      </c>
      <c r="G111">
        <v>5765269.6260000002</v>
      </c>
      <c r="H111">
        <v>10918828.539999999</v>
      </c>
      <c r="I111">
        <v>16071762.07</v>
      </c>
      <c r="J111">
        <v>21225024.960000001</v>
      </c>
      <c r="K111">
        <v>26378509.690000001</v>
      </c>
      <c r="L111">
        <v>31532105.559999999</v>
      </c>
      <c r="M111">
        <v>36685708.640000001</v>
      </c>
      <c r="N111">
        <v>41839231.020000003</v>
      </c>
      <c r="O111">
        <v>46992625.719999999</v>
      </c>
      <c r="P111">
        <v>52145823.100000001</v>
      </c>
      <c r="Q111">
        <v>57298724.399999999</v>
      </c>
      <c r="R111">
        <v>62451289.899999999</v>
      </c>
      <c r="S111">
        <v>67603415.200000003</v>
      </c>
      <c r="T111">
        <v>67603409.799999997</v>
      </c>
      <c r="U111">
        <v>67603415.900000006</v>
      </c>
      <c r="V111">
        <v>67603411.5</v>
      </c>
      <c r="W111">
        <v>67603415.200000003</v>
      </c>
      <c r="X111">
        <v>67603412.099999994</v>
      </c>
      <c r="Y111">
        <v>67603415</v>
      </c>
      <c r="Z111">
        <v>67603407.5</v>
      </c>
      <c r="AA111">
        <v>67603419.299999997</v>
      </c>
      <c r="AB111">
        <v>67603414.100000009</v>
      </c>
      <c r="AC111">
        <v>67603417.5</v>
      </c>
      <c r="AD111">
        <v>67603409.200000003</v>
      </c>
      <c r="AE111">
        <v>67603415.400000006</v>
      </c>
      <c r="AF111">
        <v>67603411.900000006</v>
      </c>
      <c r="AG111">
        <v>67603412.299999997</v>
      </c>
      <c r="AH111">
        <v>67603417.099999994</v>
      </c>
      <c r="AK111" s="3" t="str">
        <f ca="1">INDIRECT(ADDRESS(111,2))</f>
        <v>Local Electricity</v>
      </c>
      <c r="AL111" s="3">
        <f ca="1">INDIRECT(ADDRESS(111,3))</f>
        <v>610090.47</v>
      </c>
      <c r="AM111" s="4">
        <f ca="1">IFERROR(INDIRECT(ADDRESS(111,3)) / INDIRECT(ADDRESS(121,3)),0)</f>
        <v>2.7845996305896466E-4</v>
      </c>
      <c r="AN111" s="3">
        <f ca="1">INDIRECT(ADDRESS(111,9))</f>
        <v>16071762.07</v>
      </c>
      <c r="AO111" s="4">
        <f ca="1">IFERROR(INDIRECT(ADDRESS(111,9)) / INDIRECT(ADDRESS(121,9)),0)</f>
        <v>7.9847631577091519E-3</v>
      </c>
      <c r="AP111" s="4">
        <f ca="1">IFERROR((INDIRECT(ADDRESS(111,9)) - INDIRECT(ADDRESS(111,3)))/ INDIRECT(ADDRESS(111,3)),1)</f>
        <v>25.343243929052033</v>
      </c>
      <c r="AQ111" s="3">
        <f ca="1">INDIRECT(ADDRESS(111,14))</f>
        <v>41839231.020000003</v>
      </c>
      <c r="AR111" s="4">
        <f ca="1">IFERROR(INDIRECT(ADDRESS(111,14)) / INDIRECT(ADDRESS(121,14)),0)</f>
        <v>2.4295162648705154E-2</v>
      </c>
      <c r="AS111" s="4">
        <f ca="1">IFERROR((INDIRECT(ADDRESS(111,14)) - INDIRECT(ADDRESS(111,3)))/ INDIRECT(ADDRESS(111,3)),1)</f>
        <v>67.578732298506495</v>
      </c>
      <c r="AT111" s="3">
        <f ca="1">INDIRECT(ADDRESS(111,19))</f>
        <v>67603415.200000003</v>
      </c>
      <c r="AU111" s="4">
        <f ca="1">IFERROR(INDIRECT(ADDRESS(111,19)) / INDIRECT(ADDRESS(121,19)),0)</f>
        <v>4.3969442893208824E-2</v>
      </c>
      <c r="AV111" s="4">
        <f ca="1">IFERROR((INDIRECT(ADDRESS(111,19)) - INDIRECT(ADDRESS(111,3)))/ INDIRECT(ADDRESS(111,3)),1)</f>
        <v>109.8088365976279</v>
      </c>
      <c r="AW111" s="3">
        <f ca="1">INDIRECT(ADDRESS(111,24))</f>
        <v>67603412.099999994</v>
      </c>
      <c r="AX111" s="4">
        <f ca="1">IFERROR(INDIRECT(ADDRESS(111,24)) / INDIRECT(ADDRESS(121,24)),0)</f>
        <v>4.866240187861514E-2</v>
      </c>
      <c r="AY111" s="4">
        <f ca="1">IFERROR((INDIRECT(ADDRESS(111,24)) - INDIRECT(ADDRESS(111,3)))/ INDIRECT(ADDRESS(111,3)),1)</f>
        <v>109.80883151641427</v>
      </c>
      <c r="AZ111" s="3">
        <f ca="1">INDIRECT(ADDRESS(111,29))</f>
        <v>67603417.5</v>
      </c>
      <c r="BA111" s="4">
        <f ca="1">IFERROR(INDIRECT(ADDRESS(111,29)) / INDIRECT(ADDRESS(121,29)),0)</f>
        <v>5.1248908148369417E-2</v>
      </c>
      <c r="BB111" s="4">
        <f ca="1">IFERROR((INDIRECT(ADDRESS(111,29)) - INDIRECT(ADDRESS(111,3)))/ INDIRECT(ADDRESS(111,3)),1)</f>
        <v>109.80884036756058</v>
      </c>
      <c r="BC111" s="3">
        <f ca="1">INDIRECT(ADDRESS(111,34))</f>
        <v>67603417.099999994</v>
      </c>
      <c r="BD111" s="4">
        <f ca="1">IFERROR(INDIRECT(ADDRESS(111,34)) / INDIRECT(ADDRESS(121,34)),0)</f>
        <v>5.2459193375845592E-2</v>
      </c>
      <c r="BE111" s="4">
        <f ca="1">IFERROR((INDIRECT(ADDRESS(111,34)) - INDIRECT(ADDRESS(111,3)))/ INDIRECT(ADDRESS(111,3)),1)</f>
        <v>109.8088397119201</v>
      </c>
    </row>
    <row r="112" spans="1:57" x14ac:dyDescent="0.25">
      <c r="A112" s="5"/>
      <c r="B112" s="1" t="s">
        <v>46</v>
      </c>
      <c r="C112">
        <v>368529502.75</v>
      </c>
      <c r="D112">
        <v>367704417.44999999</v>
      </c>
      <c r="E112">
        <v>366766450.05000001</v>
      </c>
      <c r="F112">
        <v>365580508.64999998</v>
      </c>
      <c r="G112">
        <v>361027330.64999998</v>
      </c>
      <c r="H112">
        <v>352892433.44999999</v>
      </c>
      <c r="I112">
        <v>347989880.75</v>
      </c>
      <c r="J112">
        <v>337999702.35000002</v>
      </c>
      <c r="K112">
        <v>327690654.55000001</v>
      </c>
      <c r="L112">
        <v>316894075.94999999</v>
      </c>
      <c r="M112">
        <v>301681753.14999998</v>
      </c>
      <c r="N112">
        <v>220204965.05000001</v>
      </c>
      <c r="O112">
        <v>204675901.65000001</v>
      </c>
      <c r="P112">
        <v>189413639.05000001</v>
      </c>
      <c r="Q112">
        <v>174824077.25</v>
      </c>
      <c r="R112">
        <v>160674381.75</v>
      </c>
      <c r="S112">
        <v>149687763.15000001</v>
      </c>
      <c r="T112">
        <v>139368485.94999999</v>
      </c>
      <c r="U112">
        <v>130113292.45</v>
      </c>
      <c r="V112">
        <v>121870525.45</v>
      </c>
      <c r="W112">
        <v>114268689.95</v>
      </c>
      <c r="X112">
        <v>108103354.05</v>
      </c>
      <c r="Y112">
        <v>104296447.34999999</v>
      </c>
      <c r="Z112">
        <v>100865292.65000001</v>
      </c>
      <c r="AA112">
        <v>97731768.549999997</v>
      </c>
      <c r="AB112">
        <v>94716089.849999994</v>
      </c>
      <c r="AC112">
        <v>81401913.25</v>
      </c>
      <c r="AD112">
        <v>78908284.060000002</v>
      </c>
      <c r="AE112">
        <v>76504874.319999993</v>
      </c>
      <c r="AF112">
        <v>74168487.780000001</v>
      </c>
      <c r="AG112">
        <v>71681431.260000005</v>
      </c>
      <c r="AH112">
        <v>69655553.469999999</v>
      </c>
      <c r="AK112" s="3" t="str">
        <f ca="1">INDIRECT(ADDRESS(112,2))</f>
        <v>Natural Gas</v>
      </c>
      <c r="AL112" s="3">
        <f ca="1">INDIRECT(ADDRESS(112,3))</f>
        <v>368529502.75</v>
      </c>
      <c r="AM112" s="4">
        <f ca="1">IFERROR(INDIRECT(ADDRESS(112,3)) / INDIRECT(ADDRESS(121,3)),0)</f>
        <v>0.16820572811423135</v>
      </c>
      <c r="AN112" s="3">
        <f ca="1">INDIRECT(ADDRESS(112,9))</f>
        <v>347989880.75</v>
      </c>
      <c r="AO112" s="4">
        <f ca="1">IFERROR(INDIRECT(ADDRESS(112,9)) / INDIRECT(ADDRESS(121,9)),0)</f>
        <v>0.17288812309229271</v>
      </c>
      <c r="AP112" s="4">
        <f ca="1">IFERROR((INDIRECT(ADDRESS(112,9)) - INDIRECT(ADDRESS(112,3)))/ INDIRECT(ADDRESS(112,3)),1)</f>
        <v>-5.5733996455457457E-2</v>
      </c>
      <c r="AQ112" s="3">
        <f ca="1">INDIRECT(ADDRESS(112,14))</f>
        <v>220204965.05000001</v>
      </c>
      <c r="AR112" s="4">
        <f ca="1">IFERROR(INDIRECT(ADDRESS(112,14)) / INDIRECT(ADDRESS(121,14)),0)</f>
        <v>0.12786839794892063</v>
      </c>
      <c r="AS112" s="4">
        <f ca="1">IFERROR((INDIRECT(ADDRESS(112,14)) - INDIRECT(ADDRESS(112,3)))/ INDIRECT(ADDRESS(112,3)),1)</f>
        <v>-0.40247669886179821</v>
      </c>
      <c r="AT112" s="3">
        <f ca="1">INDIRECT(ADDRESS(112,19))</f>
        <v>149687763.15000001</v>
      </c>
      <c r="AU112" s="4">
        <f ca="1">IFERROR(INDIRECT(ADDRESS(112,19)) / INDIRECT(ADDRESS(121,19)),0)</f>
        <v>9.7357323356588255E-2</v>
      </c>
      <c r="AV112" s="4">
        <f ca="1">IFERROR((INDIRECT(ADDRESS(112,19)) - INDIRECT(ADDRESS(112,3)))/ INDIRECT(ADDRESS(112,3)),1)</f>
        <v>-0.59382420665640989</v>
      </c>
      <c r="AW112" s="3">
        <f ca="1">INDIRECT(ADDRESS(112,24))</f>
        <v>108103354.05</v>
      </c>
      <c r="AX112" s="4">
        <f ca="1">IFERROR(INDIRECT(ADDRESS(112,24)) / INDIRECT(ADDRESS(121,24)),0)</f>
        <v>7.7815138257012889E-2</v>
      </c>
      <c r="AY112" s="4">
        <f ca="1">IFERROR((INDIRECT(ADDRESS(112,24)) - INDIRECT(ADDRESS(112,3)))/ INDIRECT(ADDRESS(112,3)),1)</f>
        <v>-0.70666295847870209</v>
      </c>
      <c r="AZ112" s="3">
        <f ca="1">INDIRECT(ADDRESS(112,29))</f>
        <v>81401913.25</v>
      </c>
      <c r="BA112" s="4">
        <f ca="1">IFERROR(INDIRECT(ADDRESS(112,29)) / INDIRECT(ADDRESS(121,29)),0)</f>
        <v>6.1709294138137111E-2</v>
      </c>
      <c r="BB112" s="4">
        <f ca="1">IFERROR((INDIRECT(ADDRESS(112,29)) - INDIRECT(ADDRESS(112,3)))/ INDIRECT(ADDRESS(112,3)),1)</f>
        <v>-0.77911696989638102</v>
      </c>
      <c r="BC112" s="3">
        <f ca="1">INDIRECT(ADDRESS(112,34))</f>
        <v>69655553.469999999</v>
      </c>
      <c r="BD112" s="4">
        <f ca="1">IFERROR(INDIRECT(ADDRESS(112,34)) / INDIRECT(ADDRESS(121,34)),0)</f>
        <v>5.4051619073916347E-2</v>
      </c>
      <c r="BE112" s="4">
        <f ca="1">IFERROR((INDIRECT(ADDRESS(112,34)) - INDIRECT(ADDRESS(112,3)))/ INDIRECT(ADDRESS(112,3)),1)</f>
        <v>-0.8109905639840933</v>
      </c>
    </row>
    <row r="113" spans="1:57" x14ac:dyDescent="0.25">
      <c r="A113" s="5"/>
      <c r="B113" s="1" t="s">
        <v>48</v>
      </c>
      <c r="C113">
        <v>97427065.099999994</v>
      </c>
      <c r="D113">
        <v>97160625.099999994</v>
      </c>
      <c r="E113">
        <v>102103355.09999999</v>
      </c>
      <c r="F113">
        <v>106383375.09999999</v>
      </c>
      <c r="G113">
        <v>110287525.09999999</v>
      </c>
      <c r="H113">
        <v>113159585.09999999</v>
      </c>
      <c r="I113">
        <v>113028842.09999999</v>
      </c>
      <c r="J113">
        <v>113182428.09999999</v>
      </c>
      <c r="K113">
        <v>112421688.09999999</v>
      </c>
      <c r="L113">
        <v>110831788.09999999</v>
      </c>
      <c r="M113">
        <v>108662867.09999999</v>
      </c>
      <c r="N113">
        <v>106359001.09999999</v>
      </c>
      <c r="O113">
        <v>104028611.09999999</v>
      </c>
      <c r="P113">
        <v>101635967.09999999</v>
      </c>
      <c r="Q113">
        <v>99018221.099999994</v>
      </c>
      <c r="R113">
        <v>95496090.099999994</v>
      </c>
      <c r="S113">
        <v>92093822.099999994</v>
      </c>
      <c r="T113">
        <v>89985448.099999994</v>
      </c>
      <c r="U113">
        <v>87542181.099999994</v>
      </c>
      <c r="V113">
        <v>84916515.099999994</v>
      </c>
      <c r="W113">
        <v>81094783.099999994</v>
      </c>
      <c r="X113">
        <v>77562605.099999994</v>
      </c>
      <c r="Y113">
        <v>74727948.099999994</v>
      </c>
      <c r="Z113">
        <v>72089566.099999994</v>
      </c>
      <c r="AA113">
        <v>69697748.099999994</v>
      </c>
      <c r="AB113">
        <v>67562647.099999994</v>
      </c>
      <c r="AC113">
        <v>65666723.100000001</v>
      </c>
      <c r="AD113">
        <v>63986398.100000001</v>
      </c>
      <c r="AE113">
        <v>62503015.100000001</v>
      </c>
      <c r="AF113">
        <v>61188239.100000001</v>
      </c>
      <c r="AG113">
        <v>60008141.100000001</v>
      </c>
      <c r="AH113">
        <v>58924647.100000001</v>
      </c>
      <c r="AK113" s="3" t="str">
        <f ca="1">INDIRECT(ADDRESS(113,2))</f>
        <v>Other</v>
      </c>
      <c r="AL113" s="3">
        <f ca="1">INDIRECT(ADDRESS(113,3))</f>
        <v>97427065.099999994</v>
      </c>
      <c r="AM113" s="4">
        <f ca="1">IFERROR(INDIRECT(ADDRESS(113,3)) / INDIRECT(ADDRESS(121,3)),0)</f>
        <v>4.4468055612619788E-2</v>
      </c>
      <c r="AN113" s="3">
        <f ca="1">INDIRECT(ADDRESS(113,9))</f>
        <v>113028842.09999999</v>
      </c>
      <c r="AO113" s="4">
        <f ca="1">IFERROR(INDIRECT(ADDRESS(113,9)) / INDIRECT(ADDRESS(121,9)),0)</f>
        <v>5.6154921297849013E-2</v>
      </c>
      <c r="AP113" s="4">
        <f ca="1">IFERROR((INDIRECT(ADDRESS(113,9)) - INDIRECT(ADDRESS(113,3)))/ INDIRECT(ADDRESS(113,3)),1)</f>
        <v>0.16013801692564791</v>
      </c>
      <c r="AQ113" s="3">
        <f ca="1">INDIRECT(ADDRESS(113,14))</f>
        <v>106359001.09999999</v>
      </c>
      <c r="AR113" s="4">
        <f ca="1">IFERROR(INDIRECT(ADDRESS(113,14)) / INDIRECT(ADDRESS(121,14)),0)</f>
        <v>6.1760437940245633E-2</v>
      </c>
      <c r="AS113" s="4">
        <f ca="1">IFERROR((INDIRECT(ADDRESS(113,14)) - INDIRECT(ADDRESS(113,3)))/ INDIRECT(ADDRESS(113,3)),1)</f>
        <v>9.1678179885970934E-2</v>
      </c>
      <c r="AT113" s="3">
        <f ca="1">INDIRECT(ADDRESS(113,19))</f>
        <v>92093822.099999994</v>
      </c>
      <c r="AU113" s="4">
        <f ca="1">IFERROR(INDIRECT(ADDRESS(113,19)) / INDIRECT(ADDRESS(121,19)),0)</f>
        <v>5.989806934551558E-2</v>
      </c>
      <c r="AV113" s="4">
        <f ca="1">IFERROR((INDIRECT(ADDRESS(113,19)) - INDIRECT(ADDRESS(113,3)))/ INDIRECT(ADDRESS(113,3)),1)</f>
        <v>-5.4740877132303148E-2</v>
      </c>
      <c r="AW113" s="3">
        <f ca="1">INDIRECT(ADDRESS(113,24))</f>
        <v>77562605.099999994</v>
      </c>
      <c r="AX113" s="4">
        <f ca="1">IFERROR(INDIRECT(ADDRESS(113,24)) / INDIRECT(ADDRESS(121,24)),0)</f>
        <v>5.5831244945823151E-2</v>
      </c>
      <c r="AY113" s="4">
        <f ca="1">IFERROR((INDIRECT(ADDRESS(113,24)) - INDIRECT(ADDRESS(113,3)))/ INDIRECT(ADDRESS(113,3)),1)</f>
        <v>-0.20389057167647351</v>
      </c>
      <c r="AZ113" s="3">
        <f ca="1">INDIRECT(ADDRESS(113,29))</f>
        <v>65666723.100000001</v>
      </c>
      <c r="BA113" s="4">
        <f ca="1">IFERROR(INDIRECT(ADDRESS(113,29)) / INDIRECT(ADDRESS(121,29)),0)</f>
        <v>4.978073572325406E-2</v>
      </c>
      <c r="BB113" s="4">
        <f ca="1">IFERROR((INDIRECT(ADDRESS(113,29)) - INDIRECT(ADDRESS(113,3)))/ INDIRECT(ADDRESS(113,3)),1)</f>
        <v>-0.32599095505341252</v>
      </c>
      <c r="BC113" s="3">
        <f ca="1">INDIRECT(ADDRESS(113,34))</f>
        <v>58924647.100000001</v>
      </c>
      <c r="BD113" s="4">
        <f ca="1">IFERROR(INDIRECT(ADDRESS(113,34)) / INDIRECT(ADDRESS(121,34)),0)</f>
        <v>4.5724603717144936E-2</v>
      </c>
      <c r="BE113" s="4">
        <f ca="1">IFERROR((INDIRECT(ADDRESS(113,34)) - INDIRECT(ADDRESS(113,3)))/ INDIRECT(ADDRESS(113,3)),1)</f>
        <v>-0.39519221851218422</v>
      </c>
    </row>
    <row r="114" spans="1:57" x14ac:dyDescent="0.25">
      <c r="A114" s="5"/>
      <c r="B114" s="1" t="s">
        <v>49</v>
      </c>
      <c r="C114">
        <v>11547872.9618</v>
      </c>
      <c r="D114">
        <v>11537872.561799999</v>
      </c>
      <c r="E114">
        <v>11506891.141799999</v>
      </c>
      <c r="F114">
        <v>11461867.5228</v>
      </c>
      <c r="G114">
        <v>11311755.841800001</v>
      </c>
      <c r="H114">
        <v>11039911.160800001</v>
      </c>
      <c r="I114">
        <v>10727430.6678</v>
      </c>
      <c r="J114">
        <v>10343579.299799999</v>
      </c>
      <c r="K114">
        <v>9936402.9668000005</v>
      </c>
      <c r="L114">
        <v>9498127.5888</v>
      </c>
      <c r="M114">
        <v>8981872.5947999991</v>
      </c>
      <c r="N114">
        <v>8458958.7268000003</v>
      </c>
      <c r="O114">
        <v>7889718.0328000002</v>
      </c>
      <c r="P114">
        <v>7328043.8087999998</v>
      </c>
      <c r="Q114">
        <v>6789640.8117999993</v>
      </c>
      <c r="R114">
        <v>6279736.4087999994</v>
      </c>
      <c r="S114">
        <v>5840780.7948000003</v>
      </c>
      <c r="T114">
        <v>5446227.9897999996</v>
      </c>
      <c r="U114">
        <v>5091449.1107999999</v>
      </c>
      <c r="V114">
        <v>4771637.2288000006</v>
      </c>
      <c r="W114">
        <v>4478557.5427999999</v>
      </c>
      <c r="X114">
        <v>4211505.4548000004</v>
      </c>
      <c r="Y114">
        <v>4057114.9528000001</v>
      </c>
      <c r="Z114">
        <v>3926097.3088000002</v>
      </c>
      <c r="AA114">
        <v>3816108.9978</v>
      </c>
      <c r="AB114">
        <v>3721328.3418000001</v>
      </c>
      <c r="AC114">
        <v>3637714.4448000002</v>
      </c>
      <c r="AD114">
        <v>3556877.0018000002</v>
      </c>
      <c r="AE114">
        <v>3479821.2738000001</v>
      </c>
      <c r="AF114">
        <v>3405490.4427999998</v>
      </c>
      <c r="AG114">
        <v>3331911.1667999998</v>
      </c>
      <c r="AH114">
        <v>3263103.9967999998</v>
      </c>
      <c r="AK114" s="3" t="str">
        <f ca="1">INDIRECT(ADDRESS(114,2))</f>
        <v>Propane</v>
      </c>
      <c r="AL114" s="3">
        <f ca="1">INDIRECT(ADDRESS(114,3))</f>
        <v>11547872.9618</v>
      </c>
      <c r="AM114" s="4">
        <f ca="1">IFERROR(INDIRECT(ADDRESS(114,3)) / INDIRECT(ADDRESS(121,3)),0)</f>
        <v>5.2707269437472851E-3</v>
      </c>
      <c r="AN114" s="3">
        <f ca="1">INDIRECT(ADDRESS(114,9))</f>
        <v>10727430.6678</v>
      </c>
      <c r="AO114" s="4">
        <f ca="1">IFERROR(INDIRECT(ADDRESS(114,9)) / INDIRECT(ADDRESS(121,9)),0)</f>
        <v>5.3295956473258512E-3</v>
      </c>
      <c r="AP114" s="4">
        <f ca="1">IFERROR((INDIRECT(ADDRESS(114,9)) - INDIRECT(ADDRESS(114,3)))/ INDIRECT(ADDRESS(114,3)),1)</f>
        <v>-7.104704881271183E-2</v>
      </c>
      <c r="AQ114" s="3">
        <f ca="1">INDIRECT(ADDRESS(114,14))</f>
        <v>8458958.7268000003</v>
      </c>
      <c r="AR114" s="4">
        <f ca="1">IFERROR(INDIRECT(ADDRESS(114,14)) / INDIRECT(ADDRESS(121,14)),0)</f>
        <v>4.9119396579743796E-3</v>
      </c>
      <c r="AS114" s="4">
        <f ca="1">IFERROR((INDIRECT(ADDRESS(114,14)) - INDIRECT(ADDRESS(114,3)))/ INDIRECT(ADDRESS(114,3)),1)</f>
        <v>-0.26748772221672601</v>
      </c>
      <c r="AT114" s="3">
        <f ca="1">INDIRECT(ADDRESS(114,19))</f>
        <v>5840780.7948000003</v>
      </c>
      <c r="AU114" s="4">
        <f ca="1">IFERROR(INDIRECT(ADDRESS(114,19)) / INDIRECT(ADDRESS(121,19)),0)</f>
        <v>3.7988595228353114E-3</v>
      </c>
      <c r="AV114" s="4">
        <f ca="1">IFERROR((INDIRECT(ADDRESS(114,19)) - INDIRECT(ADDRESS(114,3)))/ INDIRECT(ADDRESS(114,3)),1)</f>
        <v>-0.49421154751865393</v>
      </c>
      <c r="AW114" s="3">
        <f ca="1">INDIRECT(ADDRESS(114,24))</f>
        <v>4211505.4548000004</v>
      </c>
      <c r="AX114" s="4">
        <f ca="1">IFERROR(INDIRECT(ADDRESS(114,24)) / INDIRECT(ADDRESS(121,24)),0)</f>
        <v>3.0315329447026165E-3</v>
      </c>
      <c r="AY114" s="4">
        <f ca="1">IFERROR((INDIRECT(ADDRESS(114,24)) - INDIRECT(ADDRESS(114,3)))/ INDIRECT(ADDRESS(114,3)),1)</f>
        <v>-0.63530033030918098</v>
      </c>
      <c r="AZ114" s="3">
        <f ca="1">INDIRECT(ADDRESS(114,29))</f>
        <v>3637714.4448000002</v>
      </c>
      <c r="BA114" s="4">
        <f ca="1">IFERROR(INDIRECT(ADDRESS(114,29)) / INDIRECT(ADDRESS(121,29)),0)</f>
        <v>2.7576844536232486E-3</v>
      </c>
      <c r="BB114" s="4">
        <f ca="1">IFERROR((INDIRECT(ADDRESS(114,29)) - INDIRECT(ADDRESS(114,3)))/ INDIRECT(ADDRESS(114,3)),1)</f>
        <v>-0.68498835613853348</v>
      </c>
      <c r="BC114" s="3">
        <f ca="1">INDIRECT(ADDRESS(114,34))</f>
        <v>3263103.9967999998</v>
      </c>
      <c r="BD114" s="4">
        <f ca="1">IFERROR(INDIRECT(ADDRESS(114,34)) / INDIRECT(ADDRESS(121,34)),0)</f>
        <v>2.5321176194453912E-3</v>
      </c>
      <c r="BE114" s="4">
        <f ca="1">IFERROR((INDIRECT(ADDRESS(114,34)) - INDIRECT(ADDRESS(114,3)))/ INDIRECT(ADDRESS(114,3)),1)</f>
        <v>-0.71742813524237359</v>
      </c>
    </row>
    <row r="115" spans="1:57" x14ac:dyDescent="0.25">
      <c r="A115" s="5"/>
      <c r="B115" s="1" t="s">
        <v>50</v>
      </c>
      <c r="C115">
        <v>2016918.442</v>
      </c>
      <c r="D115">
        <v>2017239.172</v>
      </c>
      <c r="E115">
        <v>2019239.605</v>
      </c>
      <c r="F115">
        <v>2021240.0279999999</v>
      </c>
      <c r="G115">
        <v>2009846.45</v>
      </c>
      <c r="H115">
        <v>2010246.774</v>
      </c>
      <c r="I115">
        <v>2020981.5519999999</v>
      </c>
      <c r="J115">
        <v>2022167.662</v>
      </c>
      <c r="K115">
        <v>2023431.0419999999</v>
      </c>
      <c r="L115">
        <v>2024733.9620000001</v>
      </c>
      <c r="M115">
        <v>2026059.902</v>
      </c>
      <c r="N115">
        <v>1940945.5719999999</v>
      </c>
      <c r="O115">
        <v>1942230.922</v>
      </c>
      <c r="P115">
        <v>1943523.0319999999</v>
      </c>
      <c r="Q115">
        <v>1944819.9720000001</v>
      </c>
      <c r="R115">
        <v>1946120.412</v>
      </c>
      <c r="S115">
        <v>1947423.382</v>
      </c>
      <c r="T115">
        <v>1949423.932</v>
      </c>
      <c r="U115">
        <v>1951424.362</v>
      </c>
      <c r="V115">
        <v>1953424.682</v>
      </c>
      <c r="W115">
        <v>1953424.7819999999</v>
      </c>
      <c r="X115">
        <v>1953424.672</v>
      </c>
      <c r="Y115">
        <v>1953424.7819999999</v>
      </c>
      <c r="Z115">
        <v>1953424.7819999999</v>
      </c>
      <c r="AA115">
        <v>1953424.7819999999</v>
      </c>
      <c r="AB115">
        <v>1953424.682</v>
      </c>
      <c r="AC115">
        <v>1924215.422</v>
      </c>
      <c r="AD115">
        <v>1924215.422</v>
      </c>
      <c r="AE115">
        <v>1924215.422</v>
      </c>
      <c r="AF115">
        <v>1924215.422</v>
      </c>
      <c r="AG115">
        <v>1924215.422</v>
      </c>
      <c r="AH115">
        <v>1924215.422</v>
      </c>
      <c r="AK115" s="3" t="str">
        <f ca="1">INDIRECT(ADDRESS(115,2))</f>
        <v>RNG</v>
      </c>
      <c r="AL115" s="3">
        <f ca="1">INDIRECT(ADDRESS(115,3))</f>
        <v>2016918.442</v>
      </c>
      <c r="AM115" s="4">
        <f ca="1">IFERROR(INDIRECT(ADDRESS(115,3)) / INDIRECT(ADDRESS(121,3)),0)</f>
        <v>9.2057008340462121E-4</v>
      </c>
      <c r="AN115" s="3">
        <f ca="1">INDIRECT(ADDRESS(115,9))</f>
        <v>2020981.5519999999</v>
      </c>
      <c r="AO115" s="4">
        <f ca="1">IFERROR(INDIRECT(ADDRESS(115,9)) / INDIRECT(ADDRESS(121,9)),0)</f>
        <v>1.0040628381962763E-3</v>
      </c>
      <c r="AP115" s="4">
        <f ca="1">IFERROR((INDIRECT(ADDRESS(115,9)) - INDIRECT(ADDRESS(115,3)))/ INDIRECT(ADDRESS(115,3)),1)</f>
        <v>2.0145137827044914E-3</v>
      </c>
      <c r="AQ115" s="3">
        <f ca="1">INDIRECT(ADDRESS(115,14))</f>
        <v>1940945.5719999999</v>
      </c>
      <c r="AR115" s="4">
        <f ca="1">IFERROR(INDIRECT(ADDRESS(115,14)) / INDIRECT(ADDRESS(121,14)),0)</f>
        <v>1.1270663254179488E-3</v>
      </c>
      <c r="AS115" s="4">
        <f ca="1">IFERROR((INDIRECT(ADDRESS(115,14)) - INDIRECT(ADDRESS(115,3)))/ INDIRECT(ADDRESS(115,3)),1)</f>
        <v>-3.7667794799210882E-2</v>
      </c>
      <c r="AT115" s="3">
        <f ca="1">INDIRECT(ADDRESS(115,19))</f>
        <v>1947423.382</v>
      </c>
      <c r="AU115" s="4">
        <f ca="1">IFERROR(INDIRECT(ADDRESS(115,19)) / INDIRECT(ADDRESS(121,19)),0)</f>
        <v>1.2666094002858688E-3</v>
      </c>
      <c r="AV115" s="4">
        <f ca="1">IFERROR((INDIRECT(ADDRESS(115,19)) - INDIRECT(ADDRESS(115,3)))/ INDIRECT(ADDRESS(115,3)),1)</f>
        <v>-3.4456058585635191E-2</v>
      </c>
      <c r="AW115" s="3">
        <f ca="1">INDIRECT(ADDRESS(115,24))</f>
        <v>1953424.672</v>
      </c>
      <c r="AX115" s="4">
        <f ca="1">IFERROR(INDIRECT(ADDRESS(115,24)) / INDIRECT(ADDRESS(121,24)),0)</f>
        <v>1.406117435135585E-3</v>
      </c>
      <c r="AY115" s="4">
        <f ca="1">IFERROR((INDIRECT(ADDRESS(115,24)) - INDIRECT(ADDRESS(115,3)))/ INDIRECT(ADDRESS(115,3)),1)</f>
        <v>-3.1480583784557419E-2</v>
      </c>
      <c r="AZ115" s="3">
        <f ca="1">INDIRECT(ADDRESS(115,29))</f>
        <v>1924215.422</v>
      </c>
      <c r="BA115" s="4">
        <f ca="1">IFERROR(INDIRECT(ADDRESS(115,29)) / INDIRECT(ADDRESS(121,29)),0)</f>
        <v>1.4587123412770353E-3</v>
      </c>
      <c r="BB115" s="4">
        <f ca="1">IFERROR((INDIRECT(ADDRESS(115,29)) - INDIRECT(ADDRESS(115,3)))/ INDIRECT(ADDRESS(115,3)),1)</f>
        <v>-4.5962701351510579E-2</v>
      </c>
      <c r="BC115" s="3">
        <f ca="1">INDIRECT(ADDRESS(115,34))</f>
        <v>1924215.422</v>
      </c>
      <c r="BD115" s="4">
        <f ca="1">IFERROR(INDIRECT(ADDRESS(115,34)) / INDIRECT(ADDRESS(121,34)),0)</f>
        <v>1.4931610449537814E-3</v>
      </c>
      <c r="BE115" s="4">
        <f ca="1">IFERROR((INDIRECT(ADDRESS(115,34)) - INDIRECT(ADDRESS(115,3)))/ INDIRECT(ADDRESS(115,3)),1)</f>
        <v>-4.5962701351510579E-2</v>
      </c>
    </row>
    <row r="116" spans="1:57" x14ac:dyDescent="0.25">
      <c r="A116" s="5"/>
      <c r="B116" s="1" t="s">
        <v>104</v>
      </c>
      <c r="C116">
        <v>441453.027</v>
      </c>
      <c r="D116">
        <v>875420.027</v>
      </c>
      <c r="E116">
        <v>875420.12699999998</v>
      </c>
      <c r="F116">
        <v>875420.12699999998</v>
      </c>
      <c r="G116">
        <v>874554.62699999998</v>
      </c>
      <c r="H116">
        <v>873669.32700000005</v>
      </c>
      <c r="I116">
        <v>887979.98800000001</v>
      </c>
      <c r="J116">
        <v>887014.46899999992</v>
      </c>
      <c r="K116">
        <v>886048.95200000005</v>
      </c>
      <c r="L116">
        <v>885083.53700000001</v>
      </c>
      <c r="M116">
        <v>884118.125</v>
      </c>
      <c r="N116">
        <v>869391.31400000001</v>
      </c>
      <c r="O116">
        <v>868327.56400000001</v>
      </c>
      <c r="P116">
        <v>867263.61599999992</v>
      </c>
      <c r="Q116">
        <v>866199.37</v>
      </c>
      <c r="R116">
        <v>865134.62600000005</v>
      </c>
      <c r="S116">
        <v>864069.28399999999</v>
      </c>
      <c r="T116">
        <v>864076.83699999994</v>
      </c>
      <c r="U116">
        <v>864084.39199999999</v>
      </c>
      <c r="V116">
        <v>864091.95</v>
      </c>
      <c r="W116">
        <v>864099.50899999996</v>
      </c>
      <c r="X116">
        <v>864107.071</v>
      </c>
      <c r="Y116">
        <v>864109.82</v>
      </c>
      <c r="Z116">
        <v>864112.571</v>
      </c>
      <c r="AA116">
        <v>864115.32400000002</v>
      </c>
      <c r="AB116">
        <v>864118.07900000003</v>
      </c>
      <c r="AC116">
        <v>854128.93599999999</v>
      </c>
      <c r="AD116">
        <v>854128.17299999995</v>
      </c>
      <c r="AE116">
        <v>854127.41099999996</v>
      </c>
      <c r="AF116">
        <v>854126.652</v>
      </c>
      <c r="AG116">
        <v>854125.89399999997</v>
      </c>
      <c r="AH116">
        <v>854125.13899999997</v>
      </c>
      <c r="AK116" s="3" t="str">
        <f ca="1">INDIRECT(ADDRESS(116,2))</f>
        <v>Solar</v>
      </c>
      <c r="AL116" s="3">
        <f ca="1">INDIRECT(ADDRESS(116,3))</f>
        <v>441453.027</v>
      </c>
      <c r="AM116" s="4">
        <f ca="1">IFERROR(INDIRECT(ADDRESS(116,3)) / INDIRECT(ADDRESS(121,3)),0)</f>
        <v>2.0148977837776769E-4</v>
      </c>
      <c r="AN116" s="3">
        <f ca="1">INDIRECT(ADDRESS(116,9))</f>
        <v>887979.98800000001</v>
      </c>
      <c r="AO116" s="4">
        <f ca="1">IFERROR(INDIRECT(ADDRESS(116,9)) / INDIRECT(ADDRESS(121,9)),0)</f>
        <v>4.4116568314562002E-4</v>
      </c>
      <c r="AP116" s="4">
        <f ca="1">IFERROR((INDIRECT(ADDRESS(116,9)) - INDIRECT(ADDRESS(116,3)))/ INDIRECT(ADDRESS(116,3)),1)</f>
        <v>1.0114937121045044</v>
      </c>
      <c r="AQ116" s="3">
        <f ca="1">INDIRECT(ADDRESS(116,14))</f>
        <v>869391.31400000001</v>
      </c>
      <c r="AR116" s="4">
        <f ca="1">IFERROR(INDIRECT(ADDRESS(116,14)) / INDIRECT(ADDRESS(121,14)),0)</f>
        <v>5.0483727506618723E-4</v>
      </c>
      <c r="AS116" s="4">
        <f ca="1">IFERROR((INDIRECT(ADDRESS(116,14)) - INDIRECT(ADDRESS(116,3)))/ INDIRECT(ADDRESS(116,3)),1)</f>
        <v>0.9693857801998943</v>
      </c>
      <c r="AT116" s="3">
        <f ca="1">INDIRECT(ADDRESS(116,19))</f>
        <v>864069.28399999999</v>
      </c>
      <c r="AU116" s="4">
        <f ca="1">IFERROR(INDIRECT(ADDRESS(116,19)) / INDIRECT(ADDRESS(121,19)),0)</f>
        <v>5.6199298402625423E-4</v>
      </c>
      <c r="AV116" s="4">
        <f ca="1">IFERROR((INDIRECT(ADDRESS(116,19)) - INDIRECT(ADDRESS(116,3)))/ INDIRECT(ADDRESS(116,3)),1)</f>
        <v>0.95733006945719723</v>
      </c>
      <c r="AW116" s="3">
        <f ca="1">INDIRECT(ADDRESS(116,24))</f>
        <v>864107.071</v>
      </c>
      <c r="AX116" s="4">
        <f ca="1">IFERROR(INDIRECT(ADDRESS(116,24)) / INDIRECT(ADDRESS(121,24)),0)</f>
        <v>6.2200300619375145E-4</v>
      </c>
      <c r="AY116" s="4">
        <f ca="1">IFERROR((INDIRECT(ADDRESS(116,24)) - INDIRECT(ADDRESS(116,3)))/ INDIRECT(ADDRESS(116,3)),1)</f>
        <v>0.95741566633317021</v>
      </c>
      <c r="AZ116" s="3">
        <f ca="1">INDIRECT(ADDRESS(116,29))</f>
        <v>854128.93599999999</v>
      </c>
      <c r="BA116" s="4">
        <f ca="1">IFERROR(INDIRECT(ADDRESS(116,29)) / INDIRECT(ADDRESS(121,29)),0)</f>
        <v>6.4749944613271221E-4</v>
      </c>
      <c r="BB116" s="4">
        <f ca="1">IFERROR((INDIRECT(ADDRESS(116,29)) - INDIRECT(ADDRESS(116,3)))/ INDIRECT(ADDRESS(116,3)),1)</f>
        <v>0.93481272923744152</v>
      </c>
      <c r="BC116" s="3">
        <f ca="1">INDIRECT(ADDRESS(116,34))</f>
        <v>854125.13899999997</v>
      </c>
      <c r="BD116" s="4">
        <f ca="1">IFERROR(INDIRECT(ADDRESS(116,34)) / INDIRECT(ADDRESS(121,34)),0)</f>
        <v>6.6278773701177298E-4</v>
      </c>
      <c r="BE116" s="4">
        <f ca="1">IFERROR((INDIRECT(ADDRESS(116,34)) - INDIRECT(ADDRESS(116,3)))/ INDIRECT(ADDRESS(116,3)),1)</f>
        <v>0.93480412809583013</v>
      </c>
    </row>
    <row r="117" spans="1:57" x14ac:dyDescent="0.25">
      <c r="A117" s="5"/>
      <c r="B117" s="1" t="s">
        <v>105</v>
      </c>
      <c r="C117">
        <v>62627730</v>
      </c>
      <c r="D117">
        <v>62679880</v>
      </c>
      <c r="E117">
        <v>62679890</v>
      </c>
      <c r="F117">
        <v>62679880</v>
      </c>
      <c r="G117">
        <v>62590260</v>
      </c>
      <c r="H117">
        <v>62498570</v>
      </c>
      <c r="I117">
        <v>63980960</v>
      </c>
      <c r="J117">
        <v>63880990</v>
      </c>
      <c r="K117">
        <v>63781020</v>
      </c>
      <c r="L117">
        <v>63681060</v>
      </c>
      <c r="M117">
        <v>63581090</v>
      </c>
      <c r="N117">
        <v>62055940</v>
      </c>
      <c r="O117">
        <v>61945410</v>
      </c>
      <c r="P117">
        <v>61834850</v>
      </c>
      <c r="Q117">
        <v>61724260</v>
      </c>
      <c r="R117">
        <v>61613620</v>
      </c>
      <c r="S117">
        <v>61502920</v>
      </c>
      <c r="T117">
        <v>61502930</v>
      </c>
      <c r="U117">
        <v>61502930</v>
      </c>
      <c r="V117">
        <v>61502920</v>
      </c>
      <c r="W117">
        <v>61502930</v>
      </c>
      <c r="X117">
        <v>61502920</v>
      </c>
      <c r="Y117">
        <v>61502930</v>
      </c>
      <c r="Z117">
        <v>61502920</v>
      </c>
      <c r="AA117">
        <v>61502930</v>
      </c>
      <c r="AB117">
        <v>61502920</v>
      </c>
      <c r="AC117">
        <v>60468110</v>
      </c>
      <c r="AD117">
        <v>60468120</v>
      </c>
      <c r="AE117">
        <v>60468120</v>
      </c>
      <c r="AF117">
        <v>60468110</v>
      </c>
      <c r="AG117">
        <v>60468120</v>
      </c>
      <c r="AH117">
        <v>60468120</v>
      </c>
      <c r="AK117" s="3" t="str">
        <f ca="1">INDIRECT(ADDRESS(117,2))</f>
        <v>Uranium</v>
      </c>
      <c r="AL117" s="3">
        <f ca="1">INDIRECT(ADDRESS(117,3))</f>
        <v>62627730</v>
      </c>
      <c r="AM117" s="4">
        <f ca="1">IFERROR(INDIRECT(ADDRESS(117,3)) / INDIRECT(ADDRESS(121,3)),0)</f>
        <v>2.8584802156091396E-2</v>
      </c>
      <c r="AN117" s="3">
        <f ca="1">INDIRECT(ADDRESS(117,9))</f>
        <v>63980960</v>
      </c>
      <c r="AO117" s="4">
        <f ca="1">IFERROR(INDIRECT(ADDRESS(117,9)) / INDIRECT(ADDRESS(121,9)),0)</f>
        <v>3.1786982035807529E-2</v>
      </c>
      <c r="AP117" s="4">
        <f ca="1">IFERROR((INDIRECT(ADDRESS(117,9)) - INDIRECT(ADDRESS(117,3)))/ INDIRECT(ADDRESS(117,3)),1)</f>
        <v>2.1607521141194165E-2</v>
      </c>
      <c r="AQ117" s="3">
        <f ca="1">INDIRECT(ADDRESS(117,14))</f>
        <v>62055940</v>
      </c>
      <c r="AR117" s="4">
        <f ca="1">IFERROR(INDIRECT(ADDRESS(117,14)) / INDIRECT(ADDRESS(121,14)),0)</f>
        <v>3.6034580915160618E-2</v>
      </c>
      <c r="AS117" s="4">
        <f ca="1">IFERROR((INDIRECT(ADDRESS(117,14)) - INDIRECT(ADDRESS(117,3)))/ INDIRECT(ADDRESS(117,3)),1)</f>
        <v>-9.1299812399395601E-3</v>
      </c>
      <c r="AT117" s="3">
        <f ca="1">INDIRECT(ADDRESS(117,19))</f>
        <v>61502920</v>
      </c>
      <c r="AU117" s="4">
        <f ca="1">IFERROR(INDIRECT(ADDRESS(117,19)) / INDIRECT(ADDRESS(121,19)),0)</f>
        <v>4.00016644233913E-2</v>
      </c>
      <c r="AV117" s="4">
        <f ca="1">IFERROR((INDIRECT(ADDRESS(117,19)) - INDIRECT(ADDRESS(117,3)))/ INDIRECT(ADDRESS(117,3)),1)</f>
        <v>-1.7960254986090027E-2</v>
      </c>
      <c r="AW117" s="3">
        <f ca="1">INDIRECT(ADDRESS(117,24))</f>
        <v>61502920</v>
      </c>
      <c r="AX117" s="4">
        <f ca="1">IFERROR(INDIRECT(ADDRESS(117,24)) / INDIRECT(ADDRESS(121,24)),0)</f>
        <v>4.4271135387681369E-2</v>
      </c>
      <c r="AY117" s="4">
        <f ca="1">IFERROR((INDIRECT(ADDRESS(117,24)) - INDIRECT(ADDRESS(117,3)))/ INDIRECT(ADDRESS(117,3)),1)</f>
        <v>-1.7960254986090027E-2</v>
      </c>
      <c r="AZ117" s="3">
        <f ca="1">INDIRECT(ADDRESS(117,29))</f>
        <v>60468110</v>
      </c>
      <c r="BA117" s="4">
        <f ca="1">IFERROR(INDIRECT(ADDRESS(117,29)) / INDIRECT(ADDRESS(121,29)),0)</f>
        <v>4.5839762690924588E-2</v>
      </c>
      <c r="BB117" s="4">
        <f ca="1">IFERROR((INDIRECT(ADDRESS(117,29)) - INDIRECT(ADDRESS(117,3)))/ INDIRECT(ADDRESS(117,3)),1)</f>
        <v>-3.4483446869302145E-2</v>
      </c>
      <c r="BC117" s="3">
        <f ca="1">INDIRECT(ADDRESS(117,34))</f>
        <v>60468120</v>
      </c>
      <c r="BD117" s="4">
        <f ca="1">IFERROR(INDIRECT(ADDRESS(117,34)) / INDIRECT(ADDRESS(121,34)),0)</f>
        <v>4.6922314525338342E-2</v>
      </c>
      <c r="BE117" s="4">
        <f ca="1">IFERROR((INDIRECT(ADDRESS(117,34)) - INDIRECT(ADDRESS(117,3)))/ INDIRECT(ADDRESS(117,3)),1)</f>
        <v>-3.4483287195624046E-2</v>
      </c>
    </row>
    <row r="118" spans="1:57" x14ac:dyDescent="0.25">
      <c r="A118" s="5"/>
      <c r="B118" s="1" t="s">
        <v>106</v>
      </c>
      <c r="C118">
        <v>363857100</v>
      </c>
      <c r="D118">
        <v>364100300</v>
      </c>
      <c r="E118">
        <v>364100300</v>
      </c>
      <c r="F118">
        <v>364100300</v>
      </c>
      <c r="G118">
        <v>363527800</v>
      </c>
      <c r="H118">
        <v>362942200</v>
      </c>
      <c r="I118">
        <v>373014300</v>
      </c>
      <c r="J118">
        <v>372375800</v>
      </c>
      <c r="K118">
        <v>371737300</v>
      </c>
      <c r="L118">
        <v>371098900</v>
      </c>
      <c r="M118">
        <v>370460400</v>
      </c>
      <c r="N118">
        <v>355680600</v>
      </c>
      <c r="O118">
        <v>354974600</v>
      </c>
      <c r="P118">
        <v>354268500</v>
      </c>
      <c r="Q118">
        <v>353562100</v>
      </c>
      <c r="R118">
        <v>352855500</v>
      </c>
      <c r="S118">
        <v>352148400</v>
      </c>
      <c r="T118">
        <v>352148500</v>
      </c>
      <c r="U118">
        <v>352148500</v>
      </c>
      <c r="V118">
        <v>352148400</v>
      </c>
      <c r="W118">
        <v>352148500</v>
      </c>
      <c r="X118">
        <v>352148400</v>
      </c>
      <c r="Y118">
        <v>352148500</v>
      </c>
      <c r="Z118">
        <v>352148400</v>
      </c>
      <c r="AA118">
        <v>352148500</v>
      </c>
      <c r="AB118">
        <v>352148400</v>
      </c>
      <c r="AC118">
        <v>344097400</v>
      </c>
      <c r="AD118">
        <v>344097500</v>
      </c>
      <c r="AE118">
        <v>344097400</v>
      </c>
      <c r="AF118">
        <v>344097400</v>
      </c>
      <c r="AG118">
        <v>344097500</v>
      </c>
      <c r="AH118">
        <v>344097400</v>
      </c>
      <c r="AK118" s="3" t="str">
        <f ca="1">INDIRECT(ADDRESS(118,2))</f>
        <v>Water</v>
      </c>
      <c r="AL118" s="3">
        <f ca="1">INDIRECT(ADDRESS(118,3))</f>
        <v>363857100</v>
      </c>
      <c r="AM118" s="4">
        <f ca="1">IFERROR(INDIRECT(ADDRESS(118,3)) / INDIRECT(ADDRESS(121,3)),0)</f>
        <v>0.16607313112880129</v>
      </c>
      <c r="AN118" s="3">
        <f ca="1">INDIRECT(ADDRESS(118,9))</f>
        <v>373014300</v>
      </c>
      <c r="AO118" s="4">
        <f ca="1">IFERROR(INDIRECT(ADDRESS(118,9)) / INDIRECT(ADDRESS(121,9)),0)</f>
        <v>0.18532074000138982</v>
      </c>
      <c r="AP118" s="4">
        <f ca="1">IFERROR((INDIRECT(ADDRESS(118,9)) - INDIRECT(ADDRESS(118,3)))/ INDIRECT(ADDRESS(118,3)),1)</f>
        <v>2.5167022987870789E-2</v>
      </c>
      <c r="AQ118" s="3">
        <f ca="1">INDIRECT(ADDRESS(118,14))</f>
        <v>355680600</v>
      </c>
      <c r="AR118" s="4">
        <f ca="1">IFERROR(INDIRECT(ADDRESS(118,14)) / INDIRECT(ADDRESS(121,14)),0)</f>
        <v>0.20653625359075822</v>
      </c>
      <c r="AS118" s="4">
        <f ca="1">IFERROR((INDIRECT(ADDRESS(118,14)) - INDIRECT(ADDRESS(118,3)))/ INDIRECT(ADDRESS(118,3)),1)</f>
        <v>-2.2471734095610613E-2</v>
      </c>
      <c r="AT118" s="3">
        <f ca="1">INDIRECT(ADDRESS(118,19))</f>
        <v>352148400</v>
      </c>
      <c r="AU118" s="4">
        <f ca="1">IFERROR(INDIRECT(ADDRESS(118,19)) / INDIRECT(ADDRESS(121,19)),0)</f>
        <v>0.22903826556583279</v>
      </c>
      <c r="AV118" s="4">
        <f ca="1">IFERROR((INDIRECT(ADDRESS(118,19)) - INDIRECT(ADDRESS(118,3)))/ INDIRECT(ADDRESS(118,3)),1)</f>
        <v>-3.2179391304993088E-2</v>
      </c>
      <c r="AW118" s="3">
        <f ca="1">INDIRECT(ADDRESS(118,24))</f>
        <v>352148400</v>
      </c>
      <c r="AX118" s="4">
        <f ca="1">IFERROR(INDIRECT(ADDRESS(118,24)) / INDIRECT(ADDRESS(121,24)),0)</f>
        <v>0.25348405397589863</v>
      </c>
      <c r="AY118" s="4">
        <f ca="1">IFERROR((INDIRECT(ADDRESS(118,24)) - INDIRECT(ADDRESS(118,3)))/ INDIRECT(ADDRESS(118,3)),1)</f>
        <v>-3.2179391304993088E-2</v>
      </c>
      <c r="AZ118" s="3">
        <f ca="1">INDIRECT(ADDRESS(118,29))</f>
        <v>344097400</v>
      </c>
      <c r="BA118" s="4">
        <f ca="1">IFERROR(INDIRECT(ADDRESS(118,29)) / INDIRECT(ADDRESS(121,29)),0)</f>
        <v>0.26085391388227869</v>
      </c>
      <c r="BB118" s="4">
        <f ca="1">IFERROR((INDIRECT(ADDRESS(118,29)) - INDIRECT(ADDRESS(118,3)))/ INDIRECT(ADDRESS(118,3)),1)</f>
        <v>-5.4306209773012537E-2</v>
      </c>
      <c r="BC118" s="3">
        <f ca="1">INDIRECT(ADDRESS(118,34))</f>
        <v>344097400</v>
      </c>
      <c r="BD118" s="4">
        <f ca="1">IFERROR(INDIRECT(ADDRESS(118,34)) / INDIRECT(ADDRESS(121,34)),0)</f>
        <v>0.2670141957472989</v>
      </c>
      <c r="BE118" s="4">
        <f ca="1">IFERROR((INDIRECT(ADDRESS(118,34)) - INDIRECT(ADDRESS(118,3)))/ INDIRECT(ADDRESS(118,3)),1)</f>
        <v>-5.4306209773012537E-2</v>
      </c>
    </row>
    <row r="119" spans="1:57" x14ac:dyDescent="0.25">
      <c r="A119" s="5"/>
      <c r="B119" s="1" t="s">
        <v>107</v>
      </c>
      <c r="C119">
        <v>43192630</v>
      </c>
      <c r="D119">
        <v>42283730</v>
      </c>
      <c r="E119">
        <v>42283730</v>
      </c>
      <c r="F119">
        <v>42283730</v>
      </c>
      <c r="G119">
        <v>42226170</v>
      </c>
      <c r="H119">
        <v>42167280</v>
      </c>
      <c r="I119">
        <v>43119330</v>
      </c>
      <c r="J119">
        <v>43055130</v>
      </c>
      <c r="K119">
        <v>42990930</v>
      </c>
      <c r="L119">
        <v>42926730</v>
      </c>
      <c r="M119">
        <v>42862520</v>
      </c>
      <c r="N119">
        <v>44625130</v>
      </c>
      <c r="O119">
        <v>44554150</v>
      </c>
      <c r="P119">
        <v>44483140</v>
      </c>
      <c r="Q119">
        <v>44412110</v>
      </c>
      <c r="R119">
        <v>44341060</v>
      </c>
      <c r="S119">
        <v>44269960</v>
      </c>
      <c r="T119">
        <v>44269960</v>
      </c>
      <c r="U119">
        <v>44269960</v>
      </c>
      <c r="V119">
        <v>44269960</v>
      </c>
      <c r="W119">
        <v>44269960</v>
      </c>
      <c r="X119">
        <v>44269960</v>
      </c>
      <c r="Y119">
        <v>44269970</v>
      </c>
      <c r="Z119">
        <v>44269960</v>
      </c>
      <c r="AA119">
        <v>44269970</v>
      </c>
      <c r="AB119">
        <v>44269960</v>
      </c>
      <c r="AC119">
        <v>44510120</v>
      </c>
      <c r="AD119">
        <v>44510130</v>
      </c>
      <c r="AE119">
        <v>44510120</v>
      </c>
      <c r="AF119">
        <v>44510120</v>
      </c>
      <c r="AG119">
        <v>44510130</v>
      </c>
      <c r="AH119">
        <v>44510120</v>
      </c>
      <c r="AK119" s="3" t="str">
        <f ca="1">INDIRECT(ADDRESS(119,2))</f>
        <v>Wind</v>
      </c>
      <c r="AL119" s="3">
        <f ca="1">INDIRECT(ADDRESS(119,3))</f>
        <v>43192630</v>
      </c>
      <c r="AM119" s="4">
        <f ca="1">IFERROR(INDIRECT(ADDRESS(119,3)) / INDIRECT(ADDRESS(121,3)),0)</f>
        <v>1.9714155105913275E-2</v>
      </c>
      <c r="AN119" s="3">
        <f ca="1">INDIRECT(ADDRESS(119,9))</f>
        <v>43119330</v>
      </c>
      <c r="AO119" s="4">
        <f ca="1">IFERROR(INDIRECT(ADDRESS(119,9)) / INDIRECT(ADDRESS(121,9)),0)</f>
        <v>2.1422519576231067E-2</v>
      </c>
      <c r="AP119" s="4">
        <f ca="1">IFERROR((INDIRECT(ADDRESS(119,9)) - INDIRECT(ADDRESS(119,3)))/ INDIRECT(ADDRESS(119,3)),1)</f>
        <v>-1.6970487789236266E-3</v>
      </c>
      <c r="AQ119" s="3">
        <f ca="1">INDIRECT(ADDRESS(119,14))</f>
        <v>44625130</v>
      </c>
      <c r="AR119" s="4">
        <f ca="1">IFERROR(INDIRECT(ADDRESS(119,14)) / INDIRECT(ADDRESS(121,14)),0)</f>
        <v>2.5912875670476693E-2</v>
      </c>
      <c r="AS119" s="4">
        <f ca="1">IFERROR((INDIRECT(ADDRESS(119,14)) - INDIRECT(ADDRESS(119,3)))/ INDIRECT(ADDRESS(119,3)),1)</f>
        <v>3.3165380297518351E-2</v>
      </c>
      <c r="AT119" s="3">
        <f ca="1">INDIRECT(ADDRESS(119,19))</f>
        <v>44269960</v>
      </c>
      <c r="AU119" s="4">
        <f ca="1">IFERROR(INDIRECT(ADDRESS(119,19)) / INDIRECT(ADDRESS(121,19)),0)</f>
        <v>2.879330093525569E-2</v>
      </c>
      <c r="AV119" s="4">
        <f ca="1">IFERROR((INDIRECT(ADDRESS(119,19)) - INDIRECT(ADDRESS(119,3)))/ INDIRECT(ADDRESS(119,3)),1)</f>
        <v>2.4942449672548304E-2</v>
      </c>
      <c r="AW119" s="3">
        <f ca="1">INDIRECT(ADDRESS(119,24))</f>
        <v>44269960</v>
      </c>
      <c r="AX119" s="4">
        <f ca="1">IFERROR(INDIRECT(ADDRESS(119,24)) / INDIRECT(ADDRESS(121,24)),0)</f>
        <v>3.1866477116326168E-2</v>
      </c>
      <c r="AY119" s="4">
        <f ca="1">IFERROR((INDIRECT(ADDRESS(119,24)) - INDIRECT(ADDRESS(119,3)))/ INDIRECT(ADDRESS(119,3)),1)</f>
        <v>2.4942449672548304E-2</v>
      </c>
      <c r="AZ119" s="3">
        <f ca="1">INDIRECT(ADDRESS(119,29))</f>
        <v>44510120</v>
      </c>
      <c r="BA119" s="4">
        <f ca="1">IFERROR(INDIRECT(ADDRESS(119,29)) / INDIRECT(ADDRESS(121,29)),0)</f>
        <v>3.3742303805172284E-2</v>
      </c>
      <c r="BB119" s="4">
        <f ca="1">IFERROR((INDIRECT(ADDRESS(119,29)) - INDIRECT(ADDRESS(119,3)))/ INDIRECT(ADDRESS(119,3)),1)</f>
        <v>3.0502657513561921E-2</v>
      </c>
      <c r="BC119" s="3">
        <f ca="1">INDIRECT(ADDRESS(119,34))</f>
        <v>44510120</v>
      </c>
      <c r="BD119" s="4">
        <f ca="1">IFERROR(INDIRECT(ADDRESS(119,34)) / INDIRECT(ADDRESS(121,34)),0)</f>
        <v>3.453915633891963E-2</v>
      </c>
      <c r="BE119" s="4">
        <f ca="1">IFERROR((INDIRECT(ADDRESS(119,34)) - INDIRECT(ADDRESS(119,3)))/ INDIRECT(ADDRESS(119,3)),1)</f>
        <v>3.0502657513561921E-2</v>
      </c>
    </row>
    <row r="120" spans="1:57" x14ac:dyDescent="0.25">
      <c r="A120" s="5"/>
      <c r="B120" s="1" t="s">
        <v>51</v>
      </c>
      <c r="C120">
        <v>125996294</v>
      </c>
      <c r="D120">
        <v>126012722</v>
      </c>
      <c r="E120">
        <v>125922658</v>
      </c>
      <c r="F120">
        <v>125802599</v>
      </c>
      <c r="G120">
        <v>125552562</v>
      </c>
      <c r="H120">
        <v>125248075</v>
      </c>
      <c r="I120">
        <v>124471712</v>
      </c>
      <c r="J120">
        <v>122691521</v>
      </c>
      <c r="K120">
        <v>120926834</v>
      </c>
      <c r="L120">
        <v>119160779</v>
      </c>
      <c r="M120">
        <v>117375847</v>
      </c>
      <c r="N120">
        <v>114313642</v>
      </c>
      <c r="O120">
        <v>112555471</v>
      </c>
      <c r="P120">
        <v>110835981</v>
      </c>
      <c r="Q120">
        <v>109177967</v>
      </c>
      <c r="R120">
        <v>107598746</v>
      </c>
      <c r="S120">
        <v>106109130</v>
      </c>
      <c r="T120">
        <v>104834990.59999999</v>
      </c>
      <c r="U120">
        <v>103653122.3</v>
      </c>
      <c r="V120">
        <v>102556496.09999999</v>
      </c>
      <c r="W120">
        <v>101534856.7</v>
      </c>
      <c r="X120">
        <v>100575175.5</v>
      </c>
      <c r="Y120">
        <v>99621801.799999997</v>
      </c>
      <c r="Z120">
        <v>98707978.030000001</v>
      </c>
      <c r="AA120">
        <v>97826363.730000004</v>
      </c>
      <c r="AB120">
        <v>96972584.359999999</v>
      </c>
      <c r="AC120">
        <v>95387674.319999993</v>
      </c>
      <c r="AD120">
        <v>94543181.370000005</v>
      </c>
      <c r="AE120">
        <v>93719477.049999997</v>
      </c>
      <c r="AF120">
        <v>92915438.340000004</v>
      </c>
      <c r="AG120">
        <v>92130126.870000005</v>
      </c>
      <c r="AH120">
        <v>91362855.420000002</v>
      </c>
      <c r="AK120" s="3" t="str">
        <f ca="1">INDIRECT(ADDRESS(120,2))</f>
        <v>Wood</v>
      </c>
      <c r="AL120" s="3">
        <f ca="1">INDIRECT(ADDRESS(120,3))</f>
        <v>125996294</v>
      </c>
      <c r="AM120" s="4">
        <f ca="1">IFERROR(INDIRECT(ADDRESS(120,3)) / INDIRECT(ADDRESS(121,3)),0)</f>
        <v>5.7507738766688903E-2</v>
      </c>
      <c r="AN120" s="3">
        <f ca="1">INDIRECT(ADDRESS(120,9))</f>
        <v>124471712</v>
      </c>
      <c r="AO120" s="4">
        <f ca="1">IFERROR(INDIRECT(ADDRESS(120,9)) / INDIRECT(ADDRESS(121,9)),0)</f>
        <v>6.1839961033879592E-2</v>
      </c>
      <c r="AP120" s="4">
        <f ca="1">IFERROR((INDIRECT(ADDRESS(120,9)) - INDIRECT(ADDRESS(120,3)))/ INDIRECT(ADDRESS(120,3)),1)</f>
        <v>-1.2100213042774099E-2</v>
      </c>
      <c r="AQ120" s="3">
        <f ca="1">INDIRECT(ADDRESS(120,14))</f>
        <v>114313642</v>
      </c>
      <c r="AR120" s="4">
        <f ca="1">IFERROR(INDIRECT(ADDRESS(120,14)) / INDIRECT(ADDRESS(121,14)),0)</f>
        <v>6.6379530829050418E-2</v>
      </c>
      <c r="AS120" s="4">
        <f ca="1">IFERROR((INDIRECT(ADDRESS(120,14)) - INDIRECT(ADDRESS(120,3)))/ INDIRECT(ADDRESS(120,3)),1)</f>
        <v>-9.2722187527198227E-2</v>
      </c>
      <c r="AT120" s="3">
        <f ca="1">INDIRECT(ADDRESS(120,19))</f>
        <v>106109130</v>
      </c>
      <c r="AU120" s="4">
        <f ca="1">IFERROR(INDIRECT(ADDRESS(120,19)) / INDIRECT(ADDRESS(121,19)),0)</f>
        <v>6.9013663262134581E-2</v>
      </c>
      <c r="AV120" s="4">
        <f ca="1">IFERROR((INDIRECT(ADDRESS(120,19)) - INDIRECT(ADDRESS(120,3)))/ INDIRECT(ADDRESS(120,3)),1)</f>
        <v>-0.15783927739969875</v>
      </c>
      <c r="AW120" s="3">
        <f ca="1">INDIRECT(ADDRESS(120,24))</f>
        <v>100575175.5</v>
      </c>
      <c r="AX120" s="4">
        <f ca="1">IFERROR(INDIRECT(ADDRESS(120,24)) / INDIRECT(ADDRESS(121,24)),0)</f>
        <v>7.2396192102754053E-2</v>
      </c>
      <c r="AY120" s="4">
        <f ca="1">IFERROR((INDIRECT(ADDRESS(120,24)) - INDIRECT(ADDRESS(120,3)))/ INDIRECT(ADDRESS(120,3)),1)</f>
        <v>-0.20176084306098718</v>
      </c>
      <c r="AZ120" s="3">
        <f ca="1">INDIRECT(ADDRESS(120,29))</f>
        <v>95387674.319999993</v>
      </c>
      <c r="BA120" s="4">
        <f ca="1">IFERROR(INDIRECT(ADDRESS(120,29)) / INDIRECT(ADDRESS(121,29)),0)</f>
        <v>7.2311642524762243E-2</v>
      </c>
      <c r="BB120" s="4">
        <f ca="1">IFERROR((INDIRECT(ADDRESS(120,29)) - INDIRECT(ADDRESS(120,3)))/ INDIRECT(ADDRESS(120,3)),1)</f>
        <v>-0.24293269832206341</v>
      </c>
      <c r="BC120" s="3">
        <f ca="1">INDIRECT(ADDRESS(120,34))</f>
        <v>91362855.420000002</v>
      </c>
      <c r="BD120" s="4">
        <f ca="1">IFERROR(INDIRECT(ADDRESS(120,34)) / INDIRECT(ADDRESS(121,34)),0)</f>
        <v>7.0896145571422653E-2</v>
      </c>
      <c r="BE120" s="4">
        <f ca="1">IFERROR((INDIRECT(ADDRESS(120,34)) - INDIRECT(ADDRESS(120,3)))/ INDIRECT(ADDRESS(120,3)),1)</f>
        <v>-0.2748766450225909</v>
      </c>
    </row>
    <row r="121" spans="1:57" x14ac:dyDescent="0.25">
      <c r="A121" s="1" t="s">
        <v>21</v>
      </c>
      <c r="B121" s="1"/>
      <c r="C121">
        <v>2190945022.3937998</v>
      </c>
      <c r="D121">
        <v>2180869697.6838002</v>
      </c>
      <c r="E121">
        <v>2166352953.4560518</v>
      </c>
      <c r="F121">
        <v>2149582399.5924578</v>
      </c>
      <c r="G121">
        <v>2131241617.4538</v>
      </c>
      <c r="H121">
        <v>2101735218.0488</v>
      </c>
      <c r="I121">
        <v>2012803855.6138</v>
      </c>
      <c r="J121">
        <v>1972663403.7778001</v>
      </c>
      <c r="K121">
        <v>1930955990.6157999</v>
      </c>
      <c r="L121">
        <v>1888550512.3308001</v>
      </c>
      <c r="M121">
        <v>1844138362.8268001</v>
      </c>
      <c r="N121">
        <v>1722121873.5998001</v>
      </c>
      <c r="O121">
        <v>1683421232.1933</v>
      </c>
      <c r="P121">
        <v>1646696766.059</v>
      </c>
      <c r="Q121">
        <v>1610676064.1689999</v>
      </c>
      <c r="R121">
        <v>1571405028.4684501</v>
      </c>
      <c r="S121">
        <v>1537509023.35043</v>
      </c>
      <c r="T121">
        <v>1508474249.4924099</v>
      </c>
      <c r="U121">
        <v>1478614867.5457301</v>
      </c>
      <c r="V121">
        <v>1448363557.42417</v>
      </c>
      <c r="W121">
        <v>1417936996.97785</v>
      </c>
      <c r="X121">
        <v>1389232949.6729701</v>
      </c>
      <c r="Y121">
        <v>1376439629.2681</v>
      </c>
      <c r="Z121">
        <v>1365679369.1356699</v>
      </c>
      <c r="AA121">
        <v>1355913707.99668</v>
      </c>
      <c r="AB121">
        <v>1346826755.6343</v>
      </c>
      <c r="AC121">
        <v>1319119176.2424099</v>
      </c>
      <c r="AD121">
        <v>1311931742.1835699</v>
      </c>
      <c r="AE121">
        <v>1305361801.4474399</v>
      </c>
      <c r="AF121">
        <v>1299320560.3759601</v>
      </c>
      <c r="AG121">
        <v>1293246343.7084999</v>
      </c>
      <c r="AH121">
        <v>1288685790.7946301</v>
      </c>
    </row>
    <row r="122" spans="1:57" x14ac:dyDescent="0.25">
      <c r="A122" s="5" t="s">
        <v>2</v>
      </c>
      <c r="B122" s="1" t="s">
        <v>100</v>
      </c>
      <c r="C122">
        <v>52357190</v>
      </c>
      <c r="D122">
        <v>52357190</v>
      </c>
      <c r="E122">
        <v>52357190</v>
      </c>
      <c r="F122">
        <v>52357190</v>
      </c>
      <c r="G122">
        <v>52357190</v>
      </c>
      <c r="H122">
        <v>52357190</v>
      </c>
      <c r="I122">
        <v>52357184</v>
      </c>
      <c r="J122">
        <v>52357184</v>
      </c>
      <c r="K122">
        <v>52357181</v>
      </c>
      <c r="L122">
        <v>52357183</v>
      </c>
      <c r="M122">
        <v>52357182</v>
      </c>
      <c r="N122">
        <v>52357187</v>
      </c>
      <c r="O122">
        <v>52357178</v>
      </c>
      <c r="P122">
        <v>52357186</v>
      </c>
      <c r="Q122">
        <v>52357180</v>
      </c>
      <c r="R122">
        <v>52357190</v>
      </c>
      <c r="S122">
        <v>52357186</v>
      </c>
      <c r="T122">
        <v>52357188</v>
      </c>
      <c r="U122">
        <v>52357187</v>
      </c>
      <c r="V122">
        <v>52357183</v>
      </c>
      <c r="W122">
        <v>52357184</v>
      </c>
      <c r="X122">
        <v>52357182</v>
      </c>
      <c r="Y122">
        <v>52357186</v>
      </c>
      <c r="Z122">
        <v>52357187</v>
      </c>
      <c r="AA122">
        <v>52357184</v>
      </c>
      <c r="AB122">
        <v>52357188</v>
      </c>
      <c r="AC122">
        <v>52357187</v>
      </c>
      <c r="AD122">
        <v>52357184</v>
      </c>
      <c r="AE122">
        <v>52357187</v>
      </c>
      <c r="AF122">
        <v>52357186</v>
      </c>
      <c r="AG122">
        <v>52357182</v>
      </c>
      <c r="AH122">
        <v>52357184</v>
      </c>
      <c r="AK122" s="3" t="str">
        <f ca="1">INDIRECT(ADDRESS(122,2))</f>
        <v>Chp</v>
      </c>
      <c r="AL122" s="3">
        <f ca="1">INDIRECT(ADDRESS(122,3))</f>
        <v>52357190</v>
      </c>
      <c r="AM122" s="4">
        <f ca="1">IFERROR(INDIRECT(ADDRESS(122,3)) / INDIRECT(ADDRESS(140,3)),0)</f>
        <v>2.389708069570599E-2</v>
      </c>
      <c r="AN122" s="3">
        <f ca="1">INDIRECT(ADDRESS(122,9))</f>
        <v>52357184</v>
      </c>
      <c r="AO122" s="4">
        <f ca="1">IFERROR(INDIRECT(ADDRESS(122,9)) / INDIRECT(ADDRESS(140,9)),0)</f>
        <v>2.554956345483976E-2</v>
      </c>
      <c r="AP122" s="4">
        <f ca="1">IFERROR((INDIRECT(ADDRESS(122,9)) - INDIRECT(ADDRESS(122,3)))/ INDIRECT(ADDRESS(122,3)),1)</f>
        <v>-1.1459744115373648E-7</v>
      </c>
      <c r="AQ122" s="3">
        <f ca="1">INDIRECT(ADDRESS(122,14))</f>
        <v>52357187</v>
      </c>
      <c r="AR122" s="4">
        <f ca="1">IFERROR(INDIRECT(ADDRESS(122,14)) / INDIRECT(ADDRESS(140,14)),0)</f>
        <v>2.916674842479387E-2</v>
      </c>
      <c r="AS122" s="4">
        <f ca="1">IFERROR((INDIRECT(ADDRESS(122,14)) - INDIRECT(ADDRESS(122,3)))/ INDIRECT(ADDRESS(122,3)),1)</f>
        <v>-5.7298720576868241E-8</v>
      </c>
      <c r="AT122" s="3">
        <f ca="1">INDIRECT(ADDRESS(122,19))</f>
        <v>52357186</v>
      </c>
      <c r="AU122" s="4">
        <f ca="1">IFERROR(INDIRECT(ADDRESS(122,19)) / INDIRECT(ADDRESS(140,19)),0)</f>
        <v>3.1704913039019969E-2</v>
      </c>
      <c r="AV122" s="4">
        <f ca="1">IFERROR((INDIRECT(ADDRESS(122,19)) - INDIRECT(ADDRESS(122,3)))/ INDIRECT(ADDRESS(122,3)),1)</f>
        <v>-7.6398294102490988E-8</v>
      </c>
      <c r="AW122" s="3">
        <f ca="1">INDIRECT(ADDRESS(122,24))</f>
        <v>52357182</v>
      </c>
      <c r="AX122" s="4">
        <f ca="1">IFERROR(INDIRECT(ADDRESS(122,24)) / INDIRECT(ADDRESS(140,24)),0)</f>
        <v>3.4676784213732124E-2</v>
      </c>
      <c r="AY122" s="4">
        <f ca="1">IFERROR((INDIRECT(ADDRESS(122,24)) - INDIRECT(ADDRESS(122,3)))/ INDIRECT(ADDRESS(122,3)),1)</f>
        <v>-1.5279658820498198E-7</v>
      </c>
      <c r="AZ122" s="3">
        <f ca="1">INDIRECT(ADDRESS(122,29))</f>
        <v>52357187</v>
      </c>
      <c r="BA122" s="4">
        <f ca="1">IFERROR(INDIRECT(ADDRESS(122,29)) / INDIRECT(ADDRESS(140,29)),0)</f>
        <v>3.6217301555354568E-2</v>
      </c>
      <c r="BB122" s="4">
        <f ca="1">IFERROR((INDIRECT(ADDRESS(122,29)) - INDIRECT(ADDRESS(122,3)))/ INDIRECT(ADDRESS(122,3)),1)</f>
        <v>-5.7298720576868241E-8</v>
      </c>
      <c r="BC122" s="3">
        <f ca="1">INDIRECT(ADDRESS(122,34))</f>
        <v>52357184</v>
      </c>
      <c r="BD122" s="4">
        <f ca="1">IFERROR(INDIRECT(ADDRESS(122,34)) / INDIRECT(ADDRESS(140,34)),0)</f>
        <v>3.6819211162442932E-2</v>
      </c>
      <c r="BE122" s="4">
        <f ca="1">IFERROR((INDIRECT(ADDRESS(122,34)) - INDIRECT(ADDRESS(122,3)))/ INDIRECT(ADDRESS(122,3)),1)</f>
        <v>-1.1459744115373648E-7</v>
      </c>
    </row>
    <row r="123" spans="1:57" x14ac:dyDescent="0.25">
      <c r="A123" s="5"/>
      <c r="B123" s="1" t="s">
        <v>40</v>
      </c>
      <c r="C123">
        <v>67364420</v>
      </c>
      <c r="D123">
        <v>66743197</v>
      </c>
      <c r="E123">
        <v>66743024</v>
      </c>
      <c r="F123">
        <v>66742851</v>
      </c>
      <c r="G123">
        <v>66678080</v>
      </c>
      <c r="H123">
        <v>66613309</v>
      </c>
      <c r="I123">
        <v>4598704</v>
      </c>
      <c r="J123">
        <v>4487887</v>
      </c>
      <c r="K123">
        <v>4380332</v>
      </c>
      <c r="L123">
        <v>4275897</v>
      </c>
      <c r="M123">
        <v>4174449</v>
      </c>
      <c r="N123">
        <v>4054853</v>
      </c>
      <c r="O123">
        <v>3893491</v>
      </c>
      <c r="P123">
        <v>3736477</v>
      </c>
      <c r="Q123">
        <v>3583632</v>
      </c>
      <c r="R123">
        <v>3434791</v>
      </c>
      <c r="S123">
        <v>3289794</v>
      </c>
      <c r="T123">
        <v>3197825</v>
      </c>
      <c r="U123">
        <v>3108127</v>
      </c>
      <c r="V123">
        <v>3020615</v>
      </c>
      <c r="W123">
        <v>2935205</v>
      </c>
      <c r="X123">
        <v>2851821</v>
      </c>
      <c r="Y123">
        <v>2769811</v>
      </c>
      <c r="Z123">
        <v>2689747</v>
      </c>
      <c r="AA123">
        <v>2611561</v>
      </c>
      <c r="AB123">
        <v>2535185</v>
      </c>
      <c r="AC123">
        <v>2444954</v>
      </c>
      <c r="AD123">
        <v>2371707</v>
      </c>
      <c r="AE123">
        <v>2300131.6</v>
      </c>
      <c r="AF123">
        <v>2230173.1</v>
      </c>
      <c r="AG123">
        <v>2161776.7000000002</v>
      </c>
      <c r="AH123">
        <v>2094891.1</v>
      </c>
      <c r="AK123" s="3" t="str">
        <f ca="1">INDIRECT(ADDRESS(123,2))</f>
        <v>Coal</v>
      </c>
      <c r="AL123" s="3">
        <f ca="1">INDIRECT(ADDRESS(123,3))</f>
        <v>67364420</v>
      </c>
      <c r="AM123" s="4">
        <f ca="1">IFERROR(INDIRECT(ADDRESS(123,3)) / INDIRECT(ADDRESS(140,3)),0)</f>
        <v>3.0746741388516657E-2</v>
      </c>
      <c r="AN123" s="3">
        <f ca="1">INDIRECT(ADDRESS(123,9))</f>
        <v>4598704</v>
      </c>
      <c r="AO123" s="4">
        <f ca="1">IFERROR(INDIRECT(ADDRESS(123,9)) / INDIRECT(ADDRESS(140,9)),0)</f>
        <v>2.2441023500810401E-3</v>
      </c>
      <c r="AP123" s="4">
        <f ca="1">IFERROR((INDIRECT(ADDRESS(123,9)) - INDIRECT(ADDRESS(123,3)))/ INDIRECT(ADDRESS(123,3)),1)</f>
        <v>-0.93173393313562258</v>
      </c>
      <c r="AQ123" s="3">
        <f ca="1">INDIRECT(ADDRESS(123,14))</f>
        <v>4054853</v>
      </c>
      <c r="AR123" s="4">
        <f ca="1">IFERROR(INDIRECT(ADDRESS(123,14)) / INDIRECT(ADDRESS(140,14)),0)</f>
        <v>2.2588470490311234E-3</v>
      </c>
      <c r="AS123" s="4">
        <f ca="1">IFERROR((INDIRECT(ADDRESS(123,14)) - INDIRECT(ADDRESS(123,3)))/ INDIRECT(ADDRESS(123,3)),1)</f>
        <v>-0.93980720089329051</v>
      </c>
      <c r="AT123" s="3">
        <f ca="1">INDIRECT(ADDRESS(123,19))</f>
        <v>3289794</v>
      </c>
      <c r="AU123" s="4">
        <f ca="1">IFERROR(INDIRECT(ADDRESS(123,19)) / INDIRECT(ADDRESS(140,19)),0)</f>
        <v>1.9921359541036003E-3</v>
      </c>
      <c r="AV123" s="4">
        <f ca="1">IFERROR((INDIRECT(ADDRESS(123,19)) - INDIRECT(ADDRESS(123,3)))/ INDIRECT(ADDRESS(123,3)),1)</f>
        <v>-0.951164219924999</v>
      </c>
      <c r="AW123" s="3">
        <f ca="1">INDIRECT(ADDRESS(123,24))</f>
        <v>2851821</v>
      </c>
      <c r="AX123" s="4">
        <f ca="1">IFERROR(INDIRECT(ADDRESS(123,24)) / INDIRECT(ADDRESS(140,24)),0)</f>
        <v>1.8887949590791527E-3</v>
      </c>
      <c r="AY123" s="4">
        <f ca="1">IFERROR((INDIRECT(ADDRESS(123,24)) - INDIRECT(ADDRESS(123,3)))/ INDIRECT(ADDRESS(123,3)),1)</f>
        <v>-0.95766576777473922</v>
      </c>
      <c r="AZ123" s="3">
        <f ca="1">INDIRECT(ADDRESS(123,29))</f>
        <v>2444954</v>
      </c>
      <c r="BA123" s="4">
        <f ca="1">IFERROR(INDIRECT(ADDRESS(123,29)) / INDIRECT(ADDRESS(140,29)),0)</f>
        <v>1.6912603862191905E-3</v>
      </c>
      <c r="BB123" s="4">
        <f ca="1">IFERROR((INDIRECT(ADDRESS(123,29)) - INDIRECT(ADDRESS(123,3)))/ INDIRECT(ADDRESS(123,3)),1)</f>
        <v>-0.96370555851293604</v>
      </c>
      <c r="BC123" s="3">
        <f ca="1">INDIRECT(ADDRESS(123,34))</f>
        <v>2094891.1</v>
      </c>
      <c r="BD123" s="4">
        <f ca="1">IFERROR(INDIRECT(ADDRESS(123,34)) / INDIRECT(ADDRESS(140,34)),0)</f>
        <v>1.4731930153696262E-3</v>
      </c>
      <c r="BE123" s="4">
        <f ca="1">IFERROR((INDIRECT(ADDRESS(123,34)) - INDIRECT(ADDRESS(123,3)))/ INDIRECT(ADDRESS(123,3)),1)</f>
        <v>-0.96890211331144838</v>
      </c>
    </row>
    <row r="124" spans="1:57" x14ac:dyDescent="0.25">
      <c r="A124" s="5"/>
      <c r="B124" s="1" t="s">
        <v>41</v>
      </c>
      <c r="C124">
        <v>216163500</v>
      </c>
      <c r="D124">
        <v>207066200</v>
      </c>
      <c r="E124">
        <v>197572400</v>
      </c>
      <c r="F124">
        <v>187851000</v>
      </c>
      <c r="G124">
        <v>178327300</v>
      </c>
      <c r="H124">
        <v>167075100</v>
      </c>
      <c r="I124">
        <v>156690800</v>
      </c>
      <c r="J124">
        <v>145680900</v>
      </c>
      <c r="K124">
        <v>135206700</v>
      </c>
      <c r="L124">
        <v>125008800</v>
      </c>
      <c r="M124">
        <v>115094200</v>
      </c>
      <c r="N124">
        <v>105629400</v>
      </c>
      <c r="O124">
        <v>96538940</v>
      </c>
      <c r="P124">
        <v>87864320</v>
      </c>
      <c r="Q124">
        <v>79431420</v>
      </c>
      <c r="R124">
        <v>71072400</v>
      </c>
      <c r="S124">
        <v>63188660</v>
      </c>
      <c r="T124">
        <v>58856150</v>
      </c>
      <c r="U124">
        <v>54599440</v>
      </c>
      <c r="V124">
        <v>50467150</v>
      </c>
      <c r="W124">
        <v>47151590</v>
      </c>
      <c r="X124">
        <v>43924840</v>
      </c>
      <c r="Y124">
        <v>42561830</v>
      </c>
      <c r="Z124">
        <v>41260250</v>
      </c>
      <c r="AA124">
        <v>40035240</v>
      </c>
      <c r="AB124">
        <v>38889810</v>
      </c>
      <c r="AC124">
        <v>37818410</v>
      </c>
      <c r="AD124">
        <v>36815590</v>
      </c>
      <c r="AE124">
        <v>35873330</v>
      </c>
      <c r="AF124">
        <v>34983240</v>
      </c>
      <c r="AG124">
        <v>34135170</v>
      </c>
      <c r="AH124">
        <v>33317610</v>
      </c>
      <c r="AK124" s="3" t="str">
        <f ca="1">INDIRECT(ADDRESS(124,2))</f>
        <v>Diesel</v>
      </c>
      <c r="AL124" s="3">
        <f ca="1">INDIRECT(ADDRESS(124,3))</f>
        <v>216163500</v>
      </c>
      <c r="AM124" s="4">
        <f ca="1">IFERROR(INDIRECT(ADDRESS(124,3)) / INDIRECT(ADDRESS(140,3)),0)</f>
        <v>9.866222008794287E-2</v>
      </c>
      <c r="AN124" s="3">
        <f ca="1">INDIRECT(ADDRESS(124,9))</f>
        <v>156690800</v>
      </c>
      <c r="AO124" s="4">
        <f ca="1">IFERROR(INDIRECT(ADDRESS(124,9)) / INDIRECT(ADDRESS(140,9)),0)</f>
        <v>7.6462888786944808E-2</v>
      </c>
      <c r="AP124" s="4">
        <f ca="1">IFERROR((INDIRECT(ADDRESS(124,9)) - INDIRECT(ADDRESS(124,3)))/ INDIRECT(ADDRESS(124,3)),1)</f>
        <v>-0.27512831722284292</v>
      </c>
      <c r="AQ124" s="3">
        <f ca="1">INDIRECT(ADDRESS(124,14))</f>
        <v>105629400</v>
      </c>
      <c r="AR124" s="4">
        <f ca="1">IFERROR(INDIRECT(ADDRESS(124,14)) / INDIRECT(ADDRESS(140,14)),0)</f>
        <v>5.8843232659957868E-2</v>
      </c>
      <c r="AS124" s="4">
        <f ca="1">IFERROR((INDIRECT(ADDRESS(124,14)) - INDIRECT(ADDRESS(124,3)))/ INDIRECT(ADDRESS(124,3)),1)</f>
        <v>-0.51134488477471918</v>
      </c>
      <c r="AT124" s="3">
        <f ca="1">INDIRECT(ADDRESS(124,19))</f>
        <v>63188660</v>
      </c>
      <c r="AU124" s="4">
        <f ca="1">IFERROR(INDIRECT(ADDRESS(124,19)) / INDIRECT(ADDRESS(140,19)),0)</f>
        <v>3.8263916062108445E-2</v>
      </c>
      <c r="AV124" s="4">
        <f ca="1">IFERROR((INDIRECT(ADDRESS(124,19)) - INDIRECT(ADDRESS(124,3)))/ INDIRECT(ADDRESS(124,3)),1)</f>
        <v>-0.70768117651684948</v>
      </c>
      <c r="AW124" s="3">
        <f ca="1">INDIRECT(ADDRESS(124,24))</f>
        <v>43924840</v>
      </c>
      <c r="AX124" s="4">
        <f ca="1">IFERROR(INDIRECT(ADDRESS(124,24)) / INDIRECT(ADDRESS(140,24)),0)</f>
        <v>2.9091943838816789E-2</v>
      </c>
      <c r="AY124" s="4">
        <f ca="1">IFERROR((INDIRECT(ADDRESS(124,24)) - INDIRECT(ADDRESS(124,3)))/ INDIRECT(ADDRESS(124,3)),1)</f>
        <v>-0.79679807182988804</v>
      </c>
      <c r="AZ124" s="3">
        <f ca="1">INDIRECT(ADDRESS(124,29))</f>
        <v>37818410</v>
      </c>
      <c r="BA124" s="4">
        <f ca="1">IFERROR(INDIRECT(ADDRESS(124,29)) / INDIRECT(ADDRESS(140,29)),0)</f>
        <v>2.6160319868102095E-2</v>
      </c>
      <c r="BB124" s="4">
        <f ca="1">IFERROR((INDIRECT(ADDRESS(124,29)) - INDIRECT(ADDRESS(124,3)))/ INDIRECT(ADDRESS(124,3)),1)</f>
        <v>-0.82504719806997939</v>
      </c>
      <c r="BC124" s="3">
        <f ca="1">INDIRECT(ADDRESS(124,34))</f>
        <v>33317610</v>
      </c>
      <c r="BD124" s="4">
        <f ca="1">IFERROR(INDIRECT(ADDRESS(124,34)) / INDIRECT(ADDRESS(140,34)),0)</f>
        <v>2.342998657104859E-2</v>
      </c>
      <c r="BE124" s="4">
        <f ca="1">IFERROR((INDIRECT(ADDRESS(124,34)) - INDIRECT(ADDRESS(124,3)))/ INDIRECT(ADDRESS(124,3)),1)</f>
        <v>-0.84586847455745307</v>
      </c>
    </row>
    <row r="125" spans="1:57" x14ac:dyDescent="0.25">
      <c r="A125" s="5"/>
      <c r="B125" s="1" t="s">
        <v>42</v>
      </c>
      <c r="C125">
        <v>93733824.84300001</v>
      </c>
      <c r="D125">
        <v>93716900.111000001</v>
      </c>
      <c r="E125">
        <v>93652984.126000002</v>
      </c>
      <c r="F125">
        <v>93588969.893000007</v>
      </c>
      <c r="G125">
        <v>91931154.245000005</v>
      </c>
      <c r="H125">
        <v>90232201.545000002</v>
      </c>
      <c r="I125">
        <v>87388820.773999989</v>
      </c>
      <c r="J125">
        <v>84563881.287</v>
      </c>
      <c r="K125">
        <v>81788171.68599999</v>
      </c>
      <c r="L125">
        <v>79048676.66399999</v>
      </c>
      <c r="M125">
        <v>76332707.91399999</v>
      </c>
      <c r="N125">
        <v>73496924.184</v>
      </c>
      <c r="O125">
        <v>69265915.732700005</v>
      </c>
      <c r="P125">
        <v>65130816.035400003</v>
      </c>
      <c r="Q125">
        <v>61111634.485299997</v>
      </c>
      <c r="R125">
        <v>57218531.953980006</v>
      </c>
      <c r="S125">
        <v>53454856.728220001</v>
      </c>
      <c r="T125">
        <v>51043052.794910014</v>
      </c>
      <c r="U125">
        <v>48724487.19579</v>
      </c>
      <c r="V125">
        <v>46494341.073169999</v>
      </c>
      <c r="W125">
        <v>44345971.178599998</v>
      </c>
      <c r="X125">
        <v>42269977.748370007</v>
      </c>
      <c r="Y125">
        <v>40228430.643749997</v>
      </c>
      <c r="Z125">
        <v>38249698.595569998</v>
      </c>
      <c r="AA125">
        <v>36328884.94286</v>
      </c>
      <c r="AB125">
        <v>34461288.146070004</v>
      </c>
      <c r="AC125">
        <v>32584767.928160001</v>
      </c>
      <c r="AD125">
        <v>30789167.894639999</v>
      </c>
      <c r="AE125">
        <v>29035783.852820002</v>
      </c>
      <c r="AF125">
        <v>27321683.469659999</v>
      </c>
      <c r="AG125">
        <v>25644790.95871</v>
      </c>
      <c r="AH125">
        <v>24003635.244660001</v>
      </c>
      <c r="AK125" s="3" t="str">
        <f ca="1">INDIRECT(ADDRESS(125,2))</f>
        <v>Fuel Oil</v>
      </c>
      <c r="AL125" s="3">
        <f ca="1">INDIRECT(ADDRESS(125,3))</f>
        <v>93733824.84300001</v>
      </c>
      <c r="AM125" s="4">
        <f ca="1">IFERROR(INDIRECT(ADDRESS(125,3)) / INDIRECT(ADDRESS(140,3)),0)</f>
        <v>4.2782371937652539E-2</v>
      </c>
      <c r="AN125" s="3">
        <f ca="1">INDIRECT(ADDRESS(125,9))</f>
        <v>87388820.773999989</v>
      </c>
      <c r="AO125" s="4">
        <f ca="1">IFERROR(INDIRECT(ADDRESS(125,9)) / INDIRECT(ADDRESS(140,9)),0)</f>
        <v>4.264450551062738E-2</v>
      </c>
      <c r="AP125" s="4">
        <f ca="1">IFERROR((INDIRECT(ADDRESS(125,9)) - INDIRECT(ADDRESS(125,3)))/ INDIRECT(ADDRESS(125,3)),1)</f>
        <v>-6.7691722594566267E-2</v>
      </c>
      <c r="AQ125" s="3">
        <f ca="1">INDIRECT(ADDRESS(125,14))</f>
        <v>73496924.184</v>
      </c>
      <c r="AR125" s="4">
        <f ca="1">IFERROR(INDIRECT(ADDRESS(125,14)) / INDIRECT(ADDRESS(140,14)),0)</f>
        <v>4.0943114412752474E-2</v>
      </c>
      <c r="AS125" s="4">
        <f ca="1">IFERROR((INDIRECT(ADDRESS(125,14)) - INDIRECT(ADDRESS(125,3)))/ INDIRECT(ADDRESS(125,3)),1)</f>
        <v>-0.2158975235769576</v>
      </c>
      <c r="AT125" s="3">
        <f ca="1">INDIRECT(ADDRESS(125,19))</f>
        <v>53454856.728220001</v>
      </c>
      <c r="AU125" s="4">
        <f ca="1">IFERROR(INDIRECT(ADDRESS(125,19)) / INDIRECT(ADDRESS(140,19)),0)</f>
        <v>3.2369607948018568E-2</v>
      </c>
      <c r="AV125" s="4">
        <f ca="1">IFERROR((INDIRECT(ADDRESS(125,19)) - INDIRECT(ADDRESS(125,3)))/ INDIRECT(ADDRESS(125,3)),1)</f>
        <v>-0.42971646769184435</v>
      </c>
      <c r="AW125" s="3">
        <f ca="1">INDIRECT(ADDRESS(125,24))</f>
        <v>42269977.748370007</v>
      </c>
      <c r="AX125" s="4">
        <f ca="1">IFERROR(INDIRECT(ADDRESS(125,24)) / INDIRECT(ADDRESS(140,24)),0)</f>
        <v>2.7995908891725402E-2</v>
      </c>
      <c r="AY125" s="4">
        <f ca="1">IFERROR((INDIRECT(ADDRESS(125,24)) - INDIRECT(ADDRESS(125,3)))/ INDIRECT(ADDRESS(125,3)),1)</f>
        <v>-0.54904243138301101</v>
      </c>
      <c r="AZ125" s="3">
        <f ca="1">INDIRECT(ADDRESS(125,29))</f>
        <v>32584767.928160001</v>
      </c>
      <c r="BA125" s="4">
        <f ca="1">IFERROR(INDIRECT(ADDRESS(125,29)) / INDIRECT(ADDRESS(140,29)),0)</f>
        <v>2.2540026189058187E-2</v>
      </c>
      <c r="BB125" s="4">
        <f ca="1">IFERROR((INDIRECT(ADDRESS(125,29)) - INDIRECT(ADDRESS(125,3)))/ INDIRECT(ADDRESS(125,3)),1)</f>
        <v>-0.65236916361048924</v>
      </c>
      <c r="BC125" s="3">
        <f ca="1">INDIRECT(ADDRESS(125,34))</f>
        <v>24003635.244660001</v>
      </c>
      <c r="BD125" s="4">
        <f ca="1">IFERROR(INDIRECT(ADDRESS(125,34)) / INDIRECT(ADDRESS(140,34)),0)</f>
        <v>1.6880107890053713E-2</v>
      </c>
      <c r="BE125" s="4">
        <f ca="1">IFERROR((INDIRECT(ADDRESS(125,34)) - INDIRECT(ADDRESS(125,3)))/ INDIRECT(ADDRESS(125,3)),1)</f>
        <v>-0.74391704078154253</v>
      </c>
    </row>
    <row r="126" spans="1:57" x14ac:dyDescent="0.25">
      <c r="A126" s="5"/>
      <c r="B126" s="1" t="s">
        <v>43</v>
      </c>
      <c r="C126">
        <v>344926100</v>
      </c>
      <c r="D126">
        <v>344177300</v>
      </c>
      <c r="E126">
        <v>329323000</v>
      </c>
      <c r="F126">
        <v>312288500</v>
      </c>
      <c r="G126">
        <v>296353600</v>
      </c>
      <c r="H126">
        <v>276729600</v>
      </c>
      <c r="I126">
        <v>246714800</v>
      </c>
      <c r="J126">
        <v>225111800</v>
      </c>
      <c r="K126">
        <v>202024400</v>
      </c>
      <c r="L126">
        <v>178511700</v>
      </c>
      <c r="M126">
        <v>156075300</v>
      </c>
      <c r="N126">
        <v>136612500</v>
      </c>
      <c r="O126">
        <v>120095500</v>
      </c>
      <c r="P126">
        <v>105835400</v>
      </c>
      <c r="Q126">
        <v>92930430</v>
      </c>
      <c r="R126">
        <v>78802110</v>
      </c>
      <c r="S126">
        <v>66993620</v>
      </c>
      <c r="T126">
        <v>58494170</v>
      </c>
      <c r="U126">
        <v>50048760</v>
      </c>
      <c r="V126">
        <v>42094830</v>
      </c>
      <c r="W126">
        <v>35416690</v>
      </c>
      <c r="X126">
        <v>29467150</v>
      </c>
      <c r="Y126">
        <v>24157510</v>
      </c>
      <c r="Z126">
        <v>19328200</v>
      </c>
      <c r="AA126">
        <v>15116050</v>
      </c>
      <c r="AB126">
        <v>11550030</v>
      </c>
      <c r="AC126">
        <v>8584650</v>
      </c>
      <c r="AD126">
        <v>6165961</v>
      </c>
      <c r="AE126">
        <v>4237493</v>
      </c>
      <c r="AF126">
        <v>2724187</v>
      </c>
      <c r="AG126">
        <v>1535964</v>
      </c>
      <c r="AH126">
        <v>571681.4</v>
      </c>
      <c r="AK126" s="3" t="str">
        <f ca="1">INDIRECT(ADDRESS(126,2))</f>
        <v>Gasoline</v>
      </c>
      <c r="AL126" s="3">
        <f ca="1">INDIRECT(ADDRESS(126,3))</f>
        <v>344926100</v>
      </c>
      <c r="AM126" s="4">
        <f ca="1">IFERROR(INDIRECT(ADDRESS(126,3)) / INDIRECT(ADDRESS(140,3)),0)</f>
        <v>0.15743256744212503</v>
      </c>
      <c r="AN126" s="3">
        <f ca="1">INDIRECT(ADDRESS(126,9))</f>
        <v>246714800</v>
      </c>
      <c r="AO126" s="4">
        <f ca="1">IFERROR(INDIRECT(ADDRESS(126,9)) / INDIRECT(ADDRESS(140,9)),0)</f>
        <v>0.12039332439743322</v>
      </c>
      <c r="AP126" s="4">
        <f ca="1">IFERROR((INDIRECT(ADDRESS(126,9)) - INDIRECT(ADDRESS(126,3)))/ INDIRECT(ADDRESS(126,3)),1)</f>
        <v>-0.28473142507916915</v>
      </c>
      <c r="AQ126" s="3">
        <f ca="1">INDIRECT(ADDRESS(126,14))</f>
        <v>136612500</v>
      </c>
      <c r="AR126" s="4">
        <f ca="1">IFERROR(INDIRECT(ADDRESS(126,14)) / INDIRECT(ADDRESS(140,14)),0)</f>
        <v>7.6103065261740516E-2</v>
      </c>
      <c r="AS126" s="4">
        <f ca="1">IFERROR((INDIRECT(ADDRESS(126,14)) - INDIRECT(ADDRESS(126,3)))/ INDIRECT(ADDRESS(126,3)),1)</f>
        <v>-0.6039369012666771</v>
      </c>
      <c r="AT126" s="3">
        <f ca="1">INDIRECT(ADDRESS(126,19))</f>
        <v>66993620</v>
      </c>
      <c r="AU126" s="4">
        <f ca="1">IFERROR(INDIRECT(ADDRESS(126,19)) / INDIRECT(ADDRESS(140,19)),0)</f>
        <v>4.0568010975019719E-2</v>
      </c>
      <c r="AV126" s="4">
        <f ca="1">IFERROR((INDIRECT(ADDRESS(126,19)) - INDIRECT(ADDRESS(126,3)))/ INDIRECT(ADDRESS(126,3)),1)</f>
        <v>-0.80577399042867448</v>
      </c>
      <c r="AW126" s="3">
        <f ca="1">INDIRECT(ADDRESS(126,24))</f>
        <v>29467150</v>
      </c>
      <c r="AX126" s="4">
        <f ca="1">IFERROR(INDIRECT(ADDRESS(126,24)) / INDIRECT(ADDRESS(140,24)),0)</f>
        <v>1.9516443836562411E-2</v>
      </c>
      <c r="AY126" s="4">
        <f ca="1">IFERROR((INDIRECT(ADDRESS(126,24)) - INDIRECT(ADDRESS(126,3)))/ INDIRECT(ADDRESS(126,3)),1)</f>
        <v>-0.91456967159052327</v>
      </c>
      <c r="AZ126" s="3">
        <f ca="1">INDIRECT(ADDRESS(126,29))</f>
        <v>8584650</v>
      </c>
      <c r="BA126" s="4">
        <f ca="1">IFERROR(INDIRECT(ADDRESS(126,29)) / INDIRECT(ADDRESS(140,29)),0)</f>
        <v>5.938303327815809E-3</v>
      </c>
      <c r="BB126" s="4">
        <f ca="1">IFERROR((INDIRECT(ADDRESS(126,29)) - INDIRECT(ADDRESS(126,3)))/ INDIRECT(ADDRESS(126,3)),1)</f>
        <v>-0.97511162535975093</v>
      </c>
      <c r="BC126" s="3">
        <f ca="1">INDIRECT(ADDRESS(126,34))</f>
        <v>571681.4</v>
      </c>
      <c r="BD126" s="4">
        <f ca="1">IFERROR(INDIRECT(ADDRESS(126,34)) / INDIRECT(ADDRESS(140,34)),0)</f>
        <v>4.0202426059126868E-4</v>
      </c>
      <c r="BE126" s="4">
        <f ca="1">IFERROR((INDIRECT(ADDRESS(126,34)) - INDIRECT(ADDRESS(126,3)))/ INDIRECT(ADDRESS(126,3)),1)</f>
        <v>-0.99834259744333653</v>
      </c>
    </row>
    <row r="127" spans="1:57" x14ac:dyDescent="0.25">
      <c r="A127" s="5"/>
      <c r="B127" s="1" t="s">
        <v>101</v>
      </c>
      <c r="C127">
        <v>18826570</v>
      </c>
      <c r="D127">
        <v>18861950</v>
      </c>
      <c r="E127">
        <v>19440780</v>
      </c>
      <c r="F127">
        <v>20760890</v>
      </c>
      <c r="G127">
        <v>22477050</v>
      </c>
      <c r="H127">
        <v>24706490</v>
      </c>
      <c r="I127">
        <v>27104650</v>
      </c>
      <c r="J127">
        <v>29568110</v>
      </c>
      <c r="K127">
        <v>32138630</v>
      </c>
      <c r="L127">
        <v>35031370</v>
      </c>
      <c r="M127">
        <v>38446300</v>
      </c>
      <c r="N127">
        <v>42156050</v>
      </c>
      <c r="O127">
        <v>46126190</v>
      </c>
      <c r="P127">
        <v>49822090</v>
      </c>
      <c r="Q127">
        <v>52777740</v>
      </c>
      <c r="R127">
        <v>54725510</v>
      </c>
      <c r="S127">
        <v>55526410</v>
      </c>
      <c r="T127">
        <v>55151600</v>
      </c>
      <c r="U127">
        <v>53759240</v>
      </c>
      <c r="V127">
        <v>51509430</v>
      </c>
      <c r="W127">
        <v>48787490</v>
      </c>
      <c r="X127">
        <v>45650180</v>
      </c>
      <c r="Y127">
        <v>45112450</v>
      </c>
      <c r="Z127">
        <v>44968150</v>
      </c>
      <c r="AA127">
        <v>44694540</v>
      </c>
      <c r="AB127">
        <v>44324390</v>
      </c>
      <c r="AC127">
        <v>43877300</v>
      </c>
      <c r="AD127">
        <v>43356840</v>
      </c>
      <c r="AE127">
        <v>42820960</v>
      </c>
      <c r="AF127">
        <v>42277990</v>
      </c>
      <c r="AG127">
        <v>41803480</v>
      </c>
      <c r="AH127">
        <v>41350910</v>
      </c>
      <c r="AK127" s="3" t="str">
        <f ca="1">INDIRECT(ADDRESS(127,2))</f>
        <v>Geothermal</v>
      </c>
      <c r="AL127" s="3">
        <f ca="1">INDIRECT(ADDRESS(127,3))</f>
        <v>18826570</v>
      </c>
      <c r="AM127" s="4">
        <f ca="1">IFERROR(INDIRECT(ADDRESS(127,3)) / INDIRECT(ADDRESS(140,3)),0)</f>
        <v>8.5928993231561418E-3</v>
      </c>
      <c r="AN127" s="3">
        <f ca="1">INDIRECT(ADDRESS(127,9))</f>
        <v>27104650</v>
      </c>
      <c r="AO127" s="4">
        <f ca="1">IFERROR(INDIRECT(ADDRESS(127,9)) / INDIRECT(ADDRESS(140,9)),0)</f>
        <v>1.3226684901468775E-2</v>
      </c>
      <c r="AP127" s="4">
        <f ca="1">IFERROR((INDIRECT(ADDRESS(127,9)) - INDIRECT(ADDRESS(127,3)))/ INDIRECT(ADDRESS(127,3)),1)</f>
        <v>0.43970197439044922</v>
      </c>
      <c r="AQ127" s="3">
        <f ca="1">INDIRECT(ADDRESS(127,14))</f>
        <v>42156050</v>
      </c>
      <c r="AR127" s="4">
        <f ca="1">IFERROR(INDIRECT(ADDRESS(127,14)) / INDIRECT(ADDRESS(140,14)),0)</f>
        <v>2.3483975656160283E-2</v>
      </c>
      <c r="AS127" s="4">
        <f ca="1">IFERROR((INDIRECT(ADDRESS(127,14)) - INDIRECT(ADDRESS(127,3)))/ INDIRECT(ADDRESS(127,3)),1)</f>
        <v>1.239178458954552</v>
      </c>
      <c r="AT127" s="3">
        <f ca="1">INDIRECT(ADDRESS(127,19))</f>
        <v>55526410</v>
      </c>
      <c r="AU127" s="4">
        <f ca="1">IFERROR(INDIRECT(ADDRESS(127,19)) / INDIRECT(ADDRESS(140,19)),0)</f>
        <v>3.3624037785739073E-2</v>
      </c>
      <c r="AV127" s="4">
        <f ca="1">IFERROR((INDIRECT(ADDRESS(127,19)) - INDIRECT(ADDRESS(127,3)))/ INDIRECT(ADDRESS(127,3)),1)</f>
        <v>1.9493641167775118</v>
      </c>
      <c r="AW127" s="3">
        <f ca="1">INDIRECT(ADDRESS(127,24))</f>
        <v>45650180</v>
      </c>
      <c r="AX127" s="4">
        <f ca="1">IFERROR(INDIRECT(ADDRESS(127,24)) / INDIRECT(ADDRESS(140,24)),0)</f>
        <v>3.0234657036698993E-2</v>
      </c>
      <c r="AY127" s="4">
        <f ca="1">IFERROR((INDIRECT(ADDRESS(127,24)) - INDIRECT(ADDRESS(127,3)))/ INDIRECT(ADDRESS(127,3)),1)</f>
        <v>1.4247741357028922</v>
      </c>
      <c r="AZ127" s="3">
        <f ca="1">INDIRECT(ADDRESS(127,29))</f>
        <v>43877300</v>
      </c>
      <c r="BA127" s="4">
        <f ca="1">IFERROR(INDIRECT(ADDRESS(127,29)) / INDIRECT(ADDRESS(140,29)),0)</f>
        <v>3.0351466466958184E-2</v>
      </c>
      <c r="BB127" s="4">
        <f ca="1">IFERROR((INDIRECT(ADDRESS(127,29)) - INDIRECT(ADDRESS(127,3)))/ INDIRECT(ADDRESS(127,3)),1)</f>
        <v>1.3306050969454339</v>
      </c>
      <c r="BC127" s="3">
        <f ca="1">INDIRECT(ADDRESS(127,34))</f>
        <v>41350910</v>
      </c>
      <c r="BD127" s="4">
        <f ca="1">IFERROR(INDIRECT(ADDRESS(127,34)) / INDIRECT(ADDRESS(140,34)),0)</f>
        <v>2.9079254664444384E-2</v>
      </c>
      <c r="BE127" s="4">
        <f ca="1">IFERROR((INDIRECT(ADDRESS(127,34)) - INDIRECT(ADDRESS(127,3)))/ INDIRECT(ADDRESS(127,3)),1)</f>
        <v>1.1964123045249346</v>
      </c>
    </row>
    <row r="128" spans="1:57" x14ac:dyDescent="0.25">
      <c r="A128" s="5"/>
      <c r="B128" s="1" t="s">
        <v>44</v>
      </c>
      <c r="C128">
        <v>321326760.80000001</v>
      </c>
      <c r="D128">
        <v>322066060.69999999</v>
      </c>
      <c r="E128">
        <v>324006773</v>
      </c>
      <c r="F128">
        <v>332080348.5</v>
      </c>
      <c r="G128">
        <v>338920975</v>
      </c>
      <c r="H128">
        <v>346086633.5</v>
      </c>
      <c r="I128">
        <v>352551699.10000002</v>
      </c>
      <c r="J128">
        <v>357175085.69999999</v>
      </c>
      <c r="K128">
        <v>361902242.19999999</v>
      </c>
      <c r="L128">
        <v>366672369.69999999</v>
      </c>
      <c r="M128">
        <v>371088262.89999998</v>
      </c>
      <c r="N128">
        <v>375529407</v>
      </c>
      <c r="O128">
        <v>380591499</v>
      </c>
      <c r="P128">
        <v>384772564.10000002</v>
      </c>
      <c r="Q128">
        <v>388199450.80000001</v>
      </c>
      <c r="R128">
        <v>390960862</v>
      </c>
      <c r="S128">
        <v>393984732.30000001</v>
      </c>
      <c r="T128">
        <v>391003022.39999998</v>
      </c>
      <c r="U128">
        <v>387682377.10000002</v>
      </c>
      <c r="V128">
        <v>383727194.80000001</v>
      </c>
      <c r="W128">
        <v>378895520.19999999</v>
      </c>
      <c r="X128">
        <v>373735457.5</v>
      </c>
      <c r="Y128">
        <v>375844310.19999999</v>
      </c>
      <c r="Z128">
        <v>378338354.19999999</v>
      </c>
      <c r="AA128">
        <v>380733009.5</v>
      </c>
      <c r="AB128">
        <v>382903541.89999998</v>
      </c>
      <c r="AC128">
        <v>385367931</v>
      </c>
      <c r="AD128">
        <v>387260557.89999998</v>
      </c>
      <c r="AE128">
        <v>388957167</v>
      </c>
      <c r="AF128">
        <v>390497990.39999998</v>
      </c>
      <c r="AG128">
        <v>391706115.10000002</v>
      </c>
      <c r="AH128">
        <v>393345630</v>
      </c>
      <c r="AK128" s="3" t="str">
        <f ca="1">INDIRECT(ADDRESS(128,2))</f>
        <v>Grid Electricity</v>
      </c>
      <c r="AL128" s="3">
        <f ca="1">INDIRECT(ADDRESS(128,3))</f>
        <v>321326760.80000001</v>
      </c>
      <c r="AM128" s="4">
        <f ca="1">IFERROR(INDIRECT(ADDRESS(128,3)) / INDIRECT(ADDRESS(140,3)),0)</f>
        <v>0.14666126147196626</v>
      </c>
      <c r="AN128" s="3">
        <f ca="1">INDIRECT(ADDRESS(128,9))</f>
        <v>352551699.10000002</v>
      </c>
      <c r="AO128" s="4">
        <f ca="1">IFERROR(INDIRECT(ADDRESS(128,9)) / INDIRECT(ADDRESS(140,9)),0)</f>
        <v>0.17204023056830223</v>
      </c>
      <c r="AP128" s="4">
        <f ca="1">IFERROR((INDIRECT(ADDRESS(128,9)) - INDIRECT(ADDRESS(128,3)))/ INDIRECT(ADDRESS(128,3)),1)</f>
        <v>9.7175032114536569E-2</v>
      </c>
      <c r="AQ128" s="3">
        <f ca="1">INDIRECT(ADDRESS(128,14))</f>
        <v>375529407</v>
      </c>
      <c r="AR128" s="4">
        <f ca="1">IFERROR(INDIRECT(ADDRESS(128,14)) / INDIRECT(ADDRESS(140,14)),0)</f>
        <v>0.2091971010604719</v>
      </c>
      <c r="AS128" s="4">
        <f ca="1">IFERROR((INDIRECT(ADDRESS(128,14)) - INDIRECT(ADDRESS(128,3)))/ INDIRECT(ADDRESS(128,3)),1)</f>
        <v>0.16868388448273924</v>
      </c>
      <c r="AT128" s="3">
        <f ca="1">INDIRECT(ADDRESS(128,19))</f>
        <v>393984732.30000001</v>
      </c>
      <c r="AU128" s="4">
        <f ca="1">IFERROR(INDIRECT(ADDRESS(128,19)) / INDIRECT(ADDRESS(140,19)),0)</f>
        <v>0.23857759804495723</v>
      </c>
      <c r="AV128" s="4">
        <f ca="1">IFERROR((INDIRECT(ADDRESS(128,19)) - INDIRECT(ADDRESS(128,3)))/ INDIRECT(ADDRESS(128,3)),1)</f>
        <v>0.22611864420848449</v>
      </c>
      <c r="AW128" s="3">
        <f ca="1">INDIRECT(ADDRESS(128,24))</f>
        <v>373735457.5</v>
      </c>
      <c r="AX128" s="4">
        <f ca="1">IFERROR(INDIRECT(ADDRESS(128,24)) / INDIRECT(ADDRESS(140,24)),0)</f>
        <v>0.24752943756117263</v>
      </c>
      <c r="AY128" s="4">
        <f ca="1">IFERROR((INDIRECT(ADDRESS(128,24)) - INDIRECT(ADDRESS(128,3)))/ INDIRECT(ADDRESS(128,3)),1)</f>
        <v>0.16310093989532409</v>
      </c>
      <c r="AZ128" s="3">
        <f ca="1">INDIRECT(ADDRESS(128,29))</f>
        <v>385367931</v>
      </c>
      <c r="BA128" s="4">
        <f ca="1">IFERROR(INDIRECT(ADDRESS(128,29)) / INDIRECT(ADDRESS(140,29)),0)</f>
        <v>0.2665725064027995</v>
      </c>
      <c r="BB128" s="4">
        <f ca="1">IFERROR((INDIRECT(ADDRESS(128,29)) - INDIRECT(ADDRESS(128,3)))/ INDIRECT(ADDRESS(128,3)),1)</f>
        <v>0.19930232402853135</v>
      </c>
      <c r="BC128" s="3">
        <f ca="1">INDIRECT(ADDRESS(128,34))</f>
        <v>393345630</v>
      </c>
      <c r="BD128" s="4">
        <f ca="1">IFERROR(INDIRECT(ADDRESS(128,34)) / INDIRECT(ADDRESS(140,34)),0)</f>
        <v>0.2766129631951586</v>
      </c>
      <c r="BE128" s="4">
        <f ca="1">IFERROR((INDIRECT(ADDRESS(128,34)) - INDIRECT(ADDRESS(128,3)))/ INDIRECT(ADDRESS(128,3)),1)</f>
        <v>0.22412969595403828</v>
      </c>
    </row>
    <row r="129" spans="1:57" x14ac:dyDescent="0.25">
      <c r="A129" s="5"/>
      <c r="B129" s="1" t="s">
        <v>102</v>
      </c>
      <c r="C129">
        <v>0</v>
      </c>
      <c r="D129">
        <v>704949.7</v>
      </c>
      <c r="E129">
        <v>4497243.3745999997</v>
      </c>
      <c r="F129">
        <v>8168105.7489999998</v>
      </c>
      <c r="G129">
        <v>15517013.072149999</v>
      </c>
      <c r="H129">
        <v>25900619.238499999</v>
      </c>
      <c r="I129">
        <v>35830239.487199999</v>
      </c>
      <c r="J129">
        <v>45208319.788099997</v>
      </c>
      <c r="K129">
        <v>54112792.922000013</v>
      </c>
      <c r="L129">
        <v>62578963.705000013</v>
      </c>
      <c r="M129">
        <v>70431850.590999991</v>
      </c>
      <c r="N129">
        <v>77918716.708999991</v>
      </c>
      <c r="O129">
        <v>88322450.938000008</v>
      </c>
      <c r="P129">
        <v>98208503.415999994</v>
      </c>
      <c r="Q129">
        <v>107640946.30400001</v>
      </c>
      <c r="R129">
        <v>116599766.71600001</v>
      </c>
      <c r="S129">
        <v>125529089.389</v>
      </c>
      <c r="T129">
        <v>127568100.23899999</v>
      </c>
      <c r="U129">
        <v>129691754.579</v>
      </c>
      <c r="V129">
        <v>131882782.31900001</v>
      </c>
      <c r="W129">
        <v>134063511.369</v>
      </c>
      <c r="X129">
        <v>136421818.71900001</v>
      </c>
      <c r="Y129">
        <v>138986898.109</v>
      </c>
      <c r="Z129">
        <v>141552911.17899999</v>
      </c>
      <c r="AA129">
        <v>144104489.04899999</v>
      </c>
      <c r="AB129">
        <v>146610076.65900001</v>
      </c>
      <c r="AC129">
        <v>149197628.889</v>
      </c>
      <c r="AD129">
        <v>151677318.919</v>
      </c>
      <c r="AE129">
        <v>154112757.14899999</v>
      </c>
      <c r="AF129">
        <v>156501105.64899999</v>
      </c>
      <c r="AG129">
        <v>158784225.199</v>
      </c>
      <c r="AH129">
        <v>161136799.09900001</v>
      </c>
      <c r="AK129" s="3" t="str">
        <f ca="1">INDIRECT(ADDRESS(129,2))</f>
        <v>Hydrogen</v>
      </c>
      <c r="AL129" s="3">
        <f ca="1">INDIRECT(ADDRESS(129,3))</f>
        <v>0</v>
      </c>
      <c r="AM129" s="4">
        <f ca="1">IFERROR(INDIRECT(ADDRESS(129,3)) / INDIRECT(ADDRESS(140,3)),0)</f>
        <v>0</v>
      </c>
      <c r="AN129" s="3">
        <f ca="1">INDIRECT(ADDRESS(129,9))</f>
        <v>35830239.487199999</v>
      </c>
      <c r="AO129" s="4">
        <f ca="1">IFERROR(INDIRECT(ADDRESS(129,9)) / INDIRECT(ADDRESS(140,9)),0)</f>
        <v>1.7484648856980575E-2</v>
      </c>
      <c r="AP129" s="4">
        <f ca="1">IFERROR((INDIRECT(ADDRESS(129,9)) - INDIRECT(ADDRESS(129,3)))/ INDIRECT(ADDRESS(129,3)),1)</f>
        <v>1</v>
      </c>
      <c r="AQ129" s="3">
        <f ca="1">INDIRECT(ADDRESS(129,14))</f>
        <v>77918716.708999991</v>
      </c>
      <c r="AR129" s="4">
        <f ca="1">IFERROR(INDIRECT(ADDRESS(129,14)) / INDIRECT(ADDRESS(140,14)),0)</f>
        <v>4.3406373375907019E-2</v>
      </c>
      <c r="AS129" s="4">
        <f ca="1">IFERROR((INDIRECT(ADDRESS(129,14)) - INDIRECT(ADDRESS(129,3)))/ INDIRECT(ADDRESS(129,3)),1)</f>
        <v>1</v>
      </c>
      <c r="AT129" s="3">
        <f ca="1">INDIRECT(ADDRESS(129,19))</f>
        <v>125529089.389</v>
      </c>
      <c r="AU129" s="4">
        <f ca="1">IFERROR(INDIRECT(ADDRESS(129,19)) / INDIRECT(ADDRESS(140,19)),0)</f>
        <v>7.6014185768990897E-2</v>
      </c>
      <c r="AV129" s="4">
        <f ca="1">IFERROR((INDIRECT(ADDRESS(129,19)) - INDIRECT(ADDRESS(129,3)))/ INDIRECT(ADDRESS(129,3)),1)</f>
        <v>1</v>
      </c>
      <c r="AW129" s="3">
        <f ca="1">INDIRECT(ADDRESS(129,24))</f>
        <v>136421818.71900001</v>
      </c>
      <c r="AX129" s="4">
        <f ca="1">IFERROR(INDIRECT(ADDRESS(129,24)) / INDIRECT(ADDRESS(140,24)),0)</f>
        <v>9.0353792718707526E-2</v>
      </c>
      <c r="AY129" s="4">
        <f ca="1">IFERROR((INDIRECT(ADDRESS(129,24)) - INDIRECT(ADDRESS(129,3)))/ INDIRECT(ADDRESS(129,3)),1)</f>
        <v>1</v>
      </c>
      <c r="AZ129" s="3">
        <f ca="1">INDIRECT(ADDRESS(129,29))</f>
        <v>149197628.889</v>
      </c>
      <c r="BA129" s="4">
        <f ca="1">IFERROR(INDIRECT(ADDRESS(129,29)) / INDIRECT(ADDRESS(140,29)),0)</f>
        <v>0.10320522981528388</v>
      </c>
      <c r="BB129" s="4">
        <f ca="1">IFERROR((INDIRECT(ADDRESS(129,29)) - INDIRECT(ADDRESS(129,3)))/ INDIRECT(ADDRESS(129,3)),1)</f>
        <v>1</v>
      </c>
      <c r="BC129" s="3">
        <f ca="1">INDIRECT(ADDRESS(129,34))</f>
        <v>161136799.09900001</v>
      </c>
      <c r="BD129" s="4">
        <f ca="1">IFERROR(INDIRECT(ADDRESS(129,34)) / INDIRECT(ADDRESS(140,34)),0)</f>
        <v>0.11331644253568383</v>
      </c>
      <c r="BE129" s="4">
        <f ca="1">IFERROR((INDIRECT(ADDRESS(129,34)) - INDIRECT(ADDRESS(129,3)))/ INDIRECT(ADDRESS(129,3)),1)</f>
        <v>1</v>
      </c>
    </row>
    <row r="130" spans="1:57" x14ac:dyDescent="0.25">
      <c r="A130" s="5"/>
      <c r="B130" s="1" t="s">
        <v>103</v>
      </c>
      <c r="C130">
        <v>610090.47</v>
      </c>
      <c r="D130">
        <v>610090.47199999995</v>
      </c>
      <c r="E130">
        <v>610090.44700000004</v>
      </c>
      <c r="F130">
        <v>610090.45799999998</v>
      </c>
      <c r="G130">
        <v>610090.45400000003</v>
      </c>
      <c r="H130">
        <v>610090.40500000003</v>
      </c>
      <c r="I130">
        <v>610090.40700000001</v>
      </c>
      <c r="J130">
        <v>610090.48800000001</v>
      </c>
      <c r="K130">
        <v>610090.44799999997</v>
      </c>
      <c r="L130">
        <v>610090.50300000003</v>
      </c>
      <c r="M130">
        <v>610090.45500000007</v>
      </c>
      <c r="N130">
        <v>610090.45199999993</v>
      </c>
      <c r="O130">
        <v>610090.48300000001</v>
      </c>
      <c r="P130">
        <v>610090.50800000003</v>
      </c>
      <c r="Q130">
        <v>610090.505</v>
      </c>
      <c r="R130">
        <v>610090.44499999995</v>
      </c>
      <c r="S130">
        <v>610090.47600000002</v>
      </c>
      <c r="T130">
        <v>610090.48600000003</v>
      </c>
      <c r="U130">
        <v>610090.44400000002</v>
      </c>
      <c r="V130">
        <v>610090.49300000002</v>
      </c>
      <c r="W130">
        <v>610090.47100000002</v>
      </c>
      <c r="X130">
        <v>610090.429</v>
      </c>
      <c r="Y130">
        <v>610090.40899999999</v>
      </c>
      <c r="Z130">
        <v>610090.43599999999</v>
      </c>
      <c r="AA130">
        <v>610090.43900000001</v>
      </c>
      <c r="AB130">
        <v>610090.49099999992</v>
      </c>
      <c r="AC130">
        <v>610090.40899999999</v>
      </c>
      <c r="AD130">
        <v>610090.46299999999</v>
      </c>
      <c r="AE130">
        <v>610090.45799999998</v>
      </c>
      <c r="AF130">
        <v>610090.41399999999</v>
      </c>
      <c r="AG130">
        <v>610090.45400000003</v>
      </c>
      <c r="AH130">
        <v>610090.478</v>
      </c>
      <c r="AK130" s="3" t="str">
        <f ca="1">INDIRECT(ADDRESS(130,2))</f>
        <v>Local Electricity</v>
      </c>
      <c r="AL130" s="3">
        <f ca="1">INDIRECT(ADDRESS(130,3))</f>
        <v>610090.47</v>
      </c>
      <c r="AM130" s="4">
        <f ca="1">IFERROR(INDIRECT(ADDRESS(130,3)) / INDIRECT(ADDRESS(140,3)),0)</f>
        <v>2.7845996305896466E-4</v>
      </c>
      <c r="AN130" s="3">
        <f ca="1">INDIRECT(ADDRESS(130,9))</f>
        <v>610090.40700000001</v>
      </c>
      <c r="AO130" s="4">
        <f ca="1">IFERROR(INDIRECT(ADDRESS(130,9)) / INDIRECT(ADDRESS(140,9)),0)</f>
        <v>2.9771546855605365E-4</v>
      </c>
      <c r="AP130" s="4">
        <f ca="1">IFERROR((INDIRECT(ADDRESS(130,9)) - INDIRECT(ADDRESS(130,3)))/ INDIRECT(ADDRESS(130,3)),1)</f>
        <v>-1.0326337332484651E-7</v>
      </c>
      <c r="AQ130" s="3">
        <f ca="1">INDIRECT(ADDRESS(130,14))</f>
        <v>610090.45199999993</v>
      </c>
      <c r="AR130" s="4">
        <f ca="1">IFERROR(INDIRECT(ADDRESS(130,14)) / INDIRECT(ADDRESS(140,14)),0)</f>
        <v>3.3986460597764312E-4</v>
      </c>
      <c r="AS130" s="4">
        <f ca="1">IFERROR((INDIRECT(ADDRESS(130,14)) - INDIRECT(ADDRESS(130,3)))/ INDIRECT(ADDRESS(130,3)),1)</f>
        <v>-2.9503821031734642E-8</v>
      </c>
      <c r="AT130" s="3">
        <f ca="1">INDIRECT(ADDRESS(130,19))</f>
        <v>610090.47600000002</v>
      </c>
      <c r="AU130" s="4">
        <f ca="1">IFERROR(INDIRECT(ADDRESS(130,19)) / INDIRECT(ADDRESS(140,19)),0)</f>
        <v>3.6944050979963476E-4</v>
      </c>
      <c r="AV130" s="4">
        <f ca="1">IFERROR((INDIRECT(ADDRESS(130,19)) - INDIRECT(ADDRESS(130,3)))/ INDIRECT(ADDRESS(130,3)),1)</f>
        <v>9.8346070741837102E-9</v>
      </c>
      <c r="AW130" s="3">
        <f ca="1">INDIRECT(ADDRESS(130,24))</f>
        <v>610090.429</v>
      </c>
      <c r="AX130" s="4">
        <f ca="1">IFERROR(INDIRECT(ADDRESS(130,24)) / INDIRECT(ADDRESS(140,24)),0)</f>
        <v>4.0407014566399424E-4</v>
      </c>
      <c r="AY130" s="4">
        <f ca="1">IFERROR((INDIRECT(ADDRESS(130,24)) - INDIRECT(ADDRESS(130,3)))/ INDIRECT(ADDRESS(130,3)),1)</f>
        <v>-6.7203147704200389E-8</v>
      </c>
      <c r="AZ130" s="3">
        <f ca="1">INDIRECT(ADDRESS(130,29))</f>
        <v>610090.40899999999</v>
      </c>
      <c r="BA130" s="4">
        <f ca="1">IFERROR(INDIRECT(ADDRESS(130,29)) / INDIRECT(ADDRESS(140,29)),0)</f>
        <v>4.2202092176538445E-4</v>
      </c>
      <c r="BB130" s="4">
        <f ca="1">IFERROR((INDIRECT(ADDRESS(130,29)) - INDIRECT(ADDRESS(130,3)))/ INDIRECT(ADDRESS(130,3)),1)</f>
        <v>-9.9985171030390764E-8</v>
      </c>
      <c r="BC130" s="3">
        <f ca="1">INDIRECT(ADDRESS(130,34))</f>
        <v>610090.478</v>
      </c>
      <c r="BD130" s="4">
        <f ca="1">IFERROR(INDIRECT(ADDRESS(130,34)) / INDIRECT(ADDRESS(140,34)),0)</f>
        <v>4.2903472688060807E-4</v>
      </c>
      <c r="BE130" s="4">
        <f ca="1">IFERROR((INDIRECT(ADDRESS(130,34)) - INDIRECT(ADDRESS(130,3)))/ INDIRECT(ADDRESS(130,3)),1)</f>
        <v>1.3112809368639451E-8</v>
      </c>
    </row>
    <row r="131" spans="1:57" x14ac:dyDescent="0.25">
      <c r="A131" s="5"/>
      <c r="B131" s="1" t="s">
        <v>46</v>
      </c>
      <c r="C131">
        <v>368529502.75</v>
      </c>
      <c r="D131">
        <v>368041453.55000001</v>
      </c>
      <c r="E131">
        <v>368879098.94999999</v>
      </c>
      <c r="F131">
        <v>369291322.94999999</v>
      </c>
      <c r="G131">
        <v>364633195.69</v>
      </c>
      <c r="H131">
        <v>352428622.81999999</v>
      </c>
      <c r="I131">
        <v>343637574.32999998</v>
      </c>
      <c r="J131">
        <v>326872285.58999997</v>
      </c>
      <c r="K131">
        <v>309989045.94</v>
      </c>
      <c r="L131">
        <v>292868661.86000001</v>
      </c>
      <c r="M131">
        <v>273266576.26999998</v>
      </c>
      <c r="N131">
        <v>186950192.25999999</v>
      </c>
      <c r="O131">
        <v>163929228.22999999</v>
      </c>
      <c r="P131">
        <v>141410922.53999999</v>
      </c>
      <c r="Q131">
        <v>119695153.56999999</v>
      </c>
      <c r="R131">
        <v>98426595.400999993</v>
      </c>
      <c r="S131">
        <v>80110954.063999996</v>
      </c>
      <c r="T131">
        <v>69222384.800999999</v>
      </c>
      <c r="U131">
        <v>59004776.222999997</v>
      </c>
      <c r="V131">
        <v>49362582.494000003</v>
      </c>
      <c r="W131">
        <v>39825425.612000003</v>
      </c>
      <c r="X131">
        <v>31565304.125999998</v>
      </c>
      <c r="Y131">
        <v>28289843.588</v>
      </c>
      <c r="Z131">
        <v>25331145.555</v>
      </c>
      <c r="AA131">
        <v>22599132.258000001</v>
      </c>
      <c r="AB131">
        <v>19899421.351100001</v>
      </c>
      <c r="AC131">
        <v>7137681.9065000014</v>
      </c>
      <c r="AD131">
        <v>5211230.2632999998</v>
      </c>
      <c r="AE131">
        <v>3359366.6261</v>
      </c>
      <c r="AF131">
        <v>1828204.0129950221</v>
      </c>
      <c r="AG131">
        <v>992048.15308411641</v>
      </c>
      <c r="AH131">
        <v>144032.7126786334</v>
      </c>
      <c r="AK131" s="3" t="str">
        <f ca="1">INDIRECT(ADDRESS(131,2))</f>
        <v>Natural Gas</v>
      </c>
      <c r="AL131" s="3">
        <f ca="1">INDIRECT(ADDRESS(131,3))</f>
        <v>368529502.75</v>
      </c>
      <c r="AM131" s="4">
        <f ca="1">IFERROR(INDIRECT(ADDRESS(131,3)) / INDIRECT(ADDRESS(140,3)),0)</f>
        <v>0.16820572811423135</v>
      </c>
      <c r="AN131" s="3">
        <f ca="1">INDIRECT(ADDRESS(131,9))</f>
        <v>343637574.32999998</v>
      </c>
      <c r="AO131" s="4">
        <f ca="1">IFERROR(INDIRECT(ADDRESS(131,9)) / INDIRECT(ADDRESS(140,9)),0)</f>
        <v>0.16769026406789847</v>
      </c>
      <c r="AP131" s="4">
        <f ca="1">IFERROR((INDIRECT(ADDRESS(131,9)) - INDIRECT(ADDRESS(131,3)))/ INDIRECT(ADDRESS(131,3)),1)</f>
        <v>-6.7543923171019496E-2</v>
      </c>
      <c r="AQ131" s="3">
        <f ca="1">INDIRECT(ADDRESS(131,14))</f>
        <v>186950192.25999999</v>
      </c>
      <c r="AR131" s="4">
        <f ca="1">IFERROR(INDIRECT(ADDRESS(131,14)) / INDIRECT(ADDRESS(140,14)),0)</f>
        <v>0.10414480872729594</v>
      </c>
      <c r="AS131" s="4">
        <f ca="1">IFERROR((INDIRECT(ADDRESS(131,14)) - INDIRECT(ADDRESS(131,3)))/ INDIRECT(ADDRESS(131,3)),1)</f>
        <v>-0.49271309117733864</v>
      </c>
      <c r="AT131" s="3">
        <f ca="1">INDIRECT(ADDRESS(131,19))</f>
        <v>80110954.063999996</v>
      </c>
      <c r="AU131" s="4">
        <f ca="1">IFERROR(INDIRECT(ADDRESS(131,19)) / INDIRECT(ADDRESS(140,19)),0)</f>
        <v>4.8511217391859887E-2</v>
      </c>
      <c r="AV131" s="4">
        <f ca="1">IFERROR((INDIRECT(ADDRESS(131,19)) - INDIRECT(ADDRESS(131,3)))/ INDIRECT(ADDRESS(131,3)),1)</f>
        <v>-0.78261997081317791</v>
      </c>
      <c r="AW131" s="3">
        <f ca="1">INDIRECT(ADDRESS(131,24))</f>
        <v>31565304.125999998</v>
      </c>
      <c r="AX131" s="4">
        <f ca="1">IFERROR(INDIRECT(ADDRESS(131,24)) / INDIRECT(ADDRESS(140,24)),0)</f>
        <v>2.0906076263197858E-2</v>
      </c>
      <c r="AY131" s="4">
        <f ca="1">IFERROR((INDIRECT(ADDRESS(131,24)) - INDIRECT(ADDRESS(131,3)))/ INDIRECT(ADDRESS(131,3)),1)</f>
        <v>-0.91434795887315157</v>
      </c>
      <c r="AZ131" s="3">
        <f ca="1">INDIRECT(ADDRESS(131,29))</f>
        <v>7137681.9065000014</v>
      </c>
      <c r="BA131" s="4">
        <f ca="1">IFERROR(INDIRECT(ADDRESS(131,29)) / INDIRECT(ADDRESS(140,29)),0)</f>
        <v>4.9373847761131377E-3</v>
      </c>
      <c r="BB131" s="4">
        <f ca="1">IFERROR((INDIRECT(ADDRESS(131,29)) - INDIRECT(ADDRESS(131,3)))/ INDIRECT(ADDRESS(131,3)),1)</f>
        <v>-0.98063199322377725</v>
      </c>
      <c r="BC131" s="3">
        <f ca="1">INDIRECT(ADDRESS(131,34))</f>
        <v>144032.7126786334</v>
      </c>
      <c r="BD131" s="4">
        <f ca="1">IFERROR(INDIRECT(ADDRESS(131,34)) / INDIRECT(ADDRESS(140,34)),0)</f>
        <v>1.0128831341299933E-4</v>
      </c>
      <c r="BE131" s="4">
        <f ca="1">IFERROR((INDIRECT(ADDRESS(131,34)) - INDIRECT(ADDRESS(131,3)))/ INDIRECT(ADDRESS(131,3)),1)</f>
        <v>-0.9996091691123673</v>
      </c>
    </row>
    <row r="132" spans="1:57" x14ac:dyDescent="0.25">
      <c r="A132" s="5"/>
      <c r="B132" s="1" t="s">
        <v>48</v>
      </c>
      <c r="C132">
        <v>97427065.099999994</v>
      </c>
      <c r="D132">
        <v>97160625.099999994</v>
      </c>
      <c r="E132">
        <v>102103355.09999999</v>
      </c>
      <c r="F132">
        <v>106383375.09999999</v>
      </c>
      <c r="G132">
        <v>110287525.09999999</v>
      </c>
      <c r="H132">
        <v>113174571.26000001</v>
      </c>
      <c r="I132">
        <v>113073573.59999999</v>
      </c>
      <c r="J132">
        <v>113271661.63</v>
      </c>
      <c r="K132">
        <v>112572506.2</v>
      </c>
      <c r="L132">
        <v>111064819.7</v>
      </c>
      <c r="M132">
        <v>109001412.90000001</v>
      </c>
      <c r="N132">
        <v>106826135.90000001</v>
      </c>
      <c r="O132">
        <v>104624357.90000001</v>
      </c>
      <c r="P132">
        <v>102356077.8</v>
      </c>
      <c r="Q132">
        <v>99855197.900000006</v>
      </c>
      <c r="R132">
        <v>96440892.599999994</v>
      </c>
      <c r="S132">
        <v>93136122.099999994</v>
      </c>
      <c r="T132">
        <v>91112355.099999994</v>
      </c>
      <c r="U132">
        <v>88740034.099999994</v>
      </c>
      <c r="V132">
        <v>86170678.099999994</v>
      </c>
      <c r="W132">
        <v>82390435.099999994</v>
      </c>
      <c r="X132">
        <v>78885682.099999994</v>
      </c>
      <c r="Y132">
        <v>76066508.099999994</v>
      </c>
      <c r="Z132">
        <v>73435009.099999994</v>
      </c>
      <c r="AA132">
        <v>71044705.099999994</v>
      </c>
      <c r="AB132">
        <v>68908438.099999994</v>
      </c>
      <c r="AC132">
        <v>67010313.100000001</v>
      </c>
      <c r="AD132">
        <v>65327085.100000001</v>
      </c>
      <c r="AE132">
        <v>63840737.100000001</v>
      </c>
      <c r="AF132">
        <v>62522986.100000001</v>
      </c>
      <c r="AG132">
        <v>61339911.100000001</v>
      </c>
      <c r="AH132">
        <v>60253433.100000001</v>
      </c>
      <c r="AK132" s="3" t="str">
        <f ca="1">INDIRECT(ADDRESS(132,2))</f>
        <v>Other</v>
      </c>
      <c r="AL132" s="3">
        <f ca="1">INDIRECT(ADDRESS(132,3))</f>
        <v>97427065.099999994</v>
      </c>
      <c r="AM132" s="4">
        <f ca="1">IFERROR(INDIRECT(ADDRESS(132,3)) / INDIRECT(ADDRESS(140,3)),0)</f>
        <v>4.4468055612619788E-2</v>
      </c>
      <c r="AN132" s="3">
        <f ca="1">INDIRECT(ADDRESS(132,9))</f>
        <v>113073573.59999999</v>
      </c>
      <c r="AO132" s="4">
        <f ca="1">IFERROR(INDIRECT(ADDRESS(132,9)) / INDIRECT(ADDRESS(140,9)),0)</f>
        <v>5.5178300722947472E-2</v>
      </c>
      <c r="AP132" s="4">
        <f ca="1">IFERROR((INDIRECT(ADDRESS(132,9)) - INDIRECT(ADDRESS(132,3)))/ INDIRECT(ADDRESS(132,3)),1)</f>
        <v>0.16059714499190023</v>
      </c>
      <c r="AQ132" s="3">
        <f ca="1">INDIRECT(ADDRESS(132,14))</f>
        <v>106826135.90000001</v>
      </c>
      <c r="AR132" s="4">
        <f ca="1">IFERROR(INDIRECT(ADDRESS(132,14)) / INDIRECT(ADDRESS(140,14)),0)</f>
        <v>5.9509901305204595E-2</v>
      </c>
      <c r="AS132" s="4">
        <f ca="1">IFERROR((INDIRECT(ADDRESS(132,14)) - INDIRECT(ADDRESS(132,3)))/ INDIRECT(ADDRESS(132,3)),1)</f>
        <v>9.6472892725986595E-2</v>
      </c>
      <c r="AT132" s="3">
        <f ca="1">INDIRECT(ADDRESS(132,19))</f>
        <v>93136122.099999994</v>
      </c>
      <c r="AU132" s="4">
        <f ca="1">IFERROR(INDIRECT(ADDRESS(132,19)) / INDIRECT(ADDRESS(140,19)),0)</f>
        <v>5.6398612636898507E-2</v>
      </c>
      <c r="AV132" s="4">
        <f ca="1">IFERROR((INDIRECT(ADDRESS(132,19)) - INDIRECT(ADDRESS(132,3)))/ INDIRECT(ADDRESS(132,3)),1)</f>
        <v>-4.4042617886474754E-2</v>
      </c>
      <c r="AW132" s="3">
        <f ca="1">INDIRECT(ADDRESS(132,24))</f>
        <v>78885682.099999994</v>
      </c>
      <c r="AX132" s="4">
        <f ca="1">IFERROR(INDIRECT(ADDRESS(132,24)) / INDIRECT(ADDRESS(140,24)),0)</f>
        <v>5.2246925278269761E-2</v>
      </c>
      <c r="AY132" s="4">
        <f ca="1">IFERROR((INDIRECT(ADDRESS(132,24)) - INDIRECT(ADDRESS(132,3)))/ INDIRECT(ADDRESS(132,3)),1)</f>
        <v>-0.19031039250714329</v>
      </c>
      <c r="AZ132" s="3">
        <f ca="1">INDIRECT(ADDRESS(132,29))</f>
        <v>67010313.100000001</v>
      </c>
      <c r="BA132" s="4">
        <f ca="1">IFERROR(INDIRECT(ADDRESS(132,29)) / INDIRECT(ADDRESS(140,29)),0)</f>
        <v>4.6353382523423706E-2</v>
      </c>
      <c r="BB132" s="4">
        <f ca="1">IFERROR((INDIRECT(ADDRESS(132,29)) - INDIRECT(ADDRESS(132,3)))/ INDIRECT(ADDRESS(132,3)),1)</f>
        <v>-0.31220022864057306</v>
      </c>
      <c r="BC132" s="3">
        <f ca="1">INDIRECT(ADDRESS(132,34))</f>
        <v>60253433.100000001</v>
      </c>
      <c r="BD132" s="4">
        <f ca="1">IFERROR(INDIRECT(ADDRESS(132,34)) / INDIRECT(ADDRESS(140,34)),0)</f>
        <v>4.237210077171126E-2</v>
      </c>
      <c r="BE132" s="4">
        <f ca="1">IFERROR((INDIRECT(ADDRESS(132,34)) - INDIRECT(ADDRESS(132,3)))/ INDIRECT(ADDRESS(132,3)),1)</f>
        <v>-0.38155344166269045</v>
      </c>
    </row>
    <row r="133" spans="1:57" x14ac:dyDescent="0.25">
      <c r="A133" s="5"/>
      <c r="B133" s="1" t="s">
        <v>49</v>
      </c>
      <c r="C133">
        <v>11547872.9618</v>
      </c>
      <c r="D133">
        <v>11537872.561799999</v>
      </c>
      <c r="E133">
        <v>11506891.141799999</v>
      </c>
      <c r="F133">
        <v>11461867.5228</v>
      </c>
      <c r="G133">
        <v>11311755.841800001</v>
      </c>
      <c r="H133">
        <v>11039878.160800001</v>
      </c>
      <c r="I133">
        <v>10727333.6678</v>
      </c>
      <c r="J133">
        <v>10343393.299799999</v>
      </c>
      <c r="K133">
        <v>9936102.9668000005</v>
      </c>
      <c r="L133">
        <v>9497691.5888</v>
      </c>
      <c r="M133">
        <v>8991569.1948000006</v>
      </c>
      <c r="N133">
        <v>8477451.7268000003</v>
      </c>
      <c r="O133">
        <v>7852184.7428000001</v>
      </c>
      <c r="P133">
        <v>7234905.2977999998</v>
      </c>
      <c r="Q133">
        <v>6641028.0618000003</v>
      </c>
      <c r="R133">
        <v>6074600.2177999998</v>
      </c>
      <c r="S133">
        <v>5581381.6628</v>
      </c>
      <c r="T133">
        <v>5183030.0877999999</v>
      </c>
      <c r="U133">
        <v>4823570.6298000002</v>
      </c>
      <c r="V133">
        <v>4498204.8147999998</v>
      </c>
      <c r="W133">
        <v>4197896.0917999996</v>
      </c>
      <c r="X133">
        <v>3923899.3478000001</v>
      </c>
      <c r="Y133">
        <v>3762666.9248000002</v>
      </c>
      <c r="Z133">
        <v>3624943.5277999998</v>
      </c>
      <c r="AA133">
        <v>3508441.2878</v>
      </c>
      <c r="AB133">
        <v>3407277.1688000001</v>
      </c>
      <c r="AC133">
        <v>3318521.8258000002</v>
      </c>
      <c r="AD133">
        <v>3232568.8577999999</v>
      </c>
      <c r="AE133">
        <v>3150511.5787999998</v>
      </c>
      <c r="AF133">
        <v>3071289.9177999999</v>
      </c>
      <c r="AG133">
        <v>2992538.1468000002</v>
      </c>
      <c r="AH133">
        <v>2919442.9715999998</v>
      </c>
      <c r="AK133" s="3" t="str">
        <f ca="1">INDIRECT(ADDRESS(133,2))</f>
        <v>Propane</v>
      </c>
      <c r="AL133" s="3">
        <f ca="1">INDIRECT(ADDRESS(133,3))</f>
        <v>11547872.9618</v>
      </c>
      <c r="AM133" s="4">
        <f ca="1">IFERROR(INDIRECT(ADDRESS(133,3)) / INDIRECT(ADDRESS(140,3)),0)</f>
        <v>5.2707269437472851E-3</v>
      </c>
      <c r="AN133" s="3">
        <f ca="1">INDIRECT(ADDRESS(133,9))</f>
        <v>10727333.6678</v>
      </c>
      <c r="AO133" s="4">
        <f ca="1">IFERROR(INDIRECT(ADDRESS(133,9)) / INDIRECT(ADDRESS(140,9)),0)</f>
        <v>5.2347867342654453E-3</v>
      </c>
      <c r="AP133" s="4">
        <f ca="1">IFERROR((INDIRECT(ADDRESS(133,9)) - INDIRECT(ADDRESS(133,3)))/ INDIRECT(ADDRESS(133,3)),1)</f>
        <v>-7.1055448628012968E-2</v>
      </c>
      <c r="AQ133" s="3">
        <f ca="1">INDIRECT(ADDRESS(133,14))</f>
        <v>8477451.7268000003</v>
      </c>
      <c r="AR133" s="4">
        <f ca="1">IFERROR(INDIRECT(ADDRESS(133,14)) / INDIRECT(ADDRESS(140,14)),0)</f>
        <v>4.722555125028202E-3</v>
      </c>
      <c r="AS133" s="4">
        <f ca="1">IFERROR((INDIRECT(ADDRESS(133,14)) - INDIRECT(ADDRESS(133,3)))/ INDIRECT(ADDRESS(133,3)),1)</f>
        <v>-0.26588630175936784</v>
      </c>
      <c r="AT133" s="3">
        <f ca="1">INDIRECT(ADDRESS(133,19))</f>
        <v>5581381.6628</v>
      </c>
      <c r="AU133" s="4">
        <f ca="1">IFERROR(INDIRECT(ADDRESS(133,19)) / INDIRECT(ADDRESS(140,19)),0)</f>
        <v>3.3798076973933374E-3</v>
      </c>
      <c r="AV133" s="4">
        <f ca="1">IFERROR((INDIRECT(ADDRESS(133,19)) - INDIRECT(ADDRESS(133,3)))/ INDIRECT(ADDRESS(133,3)),1)</f>
        <v>-0.51667448358125911</v>
      </c>
      <c r="AW133" s="3">
        <f ca="1">INDIRECT(ADDRESS(133,24))</f>
        <v>3923899.3478000001</v>
      </c>
      <c r="AX133" s="4">
        <f ca="1">IFERROR(INDIRECT(ADDRESS(133,24)) / INDIRECT(ADDRESS(140,24)),0)</f>
        <v>2.598845196826384E-3</v>
      </c>
      <c r="AY133" s="4">
        <f ca="1">IFERROR((INDIRECT(ADDRESS(133,24)) - INDIRECT(ADDRESS(133,3)))/ INDIRECT(ADDRESS(133,3)),1)</f>
        <v>-0.66020587853883261</v>
      </c>
      <c r="AZ133" s="3">
        <f ca="1">INDIRECT(ADDRESS(133,29))</f>
        <v>3318521.8258000002</v>
      </c>
      <c r="BA133" s="4">
        <f ca="1">IFERROR(INDIRECT(ADDRESS(133,29)) / INDIRECT(ADDRESS(140,29)),0)</f>
        <v>2.2955378730149202E-3</v>
      </c>
      <c r="BB133" s="4">
        <f ca="1">IFERROR((INDIRECT(ADDRESS(133,29)) - INDIRECT(ADDRESS(133,3)))/ INDIRECT(ADDRESS(133,3)),1)</f>
        <v>-0.71262917103629686</v>
      </c>
      <c r="BC133" s="3">
        <f ca="1">INDIRECT(ADDRESS(133,34))</f>
        <v>2919442.9715999998</v>
      </c>
      <c r="BD133" s="4">
        <f ca="1">IFERROR(INDIRECT(ADDRESS(133,34)) / INDIRECT(ADDRESS(140,34)),0)</f>
        <v>2.0530437093035842E-3</v>
      </c>
      <c r="BE133" s="4">
        <f ca="1">IFERROR((INDIRECT(ADDRESS(133,34)) - INDIRECT(ADDRESS(133,3)))/ INDIRECT(ADDRESS(133,3)),1)</f>
        <v>-0.74718781707614679</v>
      </c>
    </row>
    <row r="134" spans="1:57" x14ac:dyDescent="0.25">
      <c r="A134" s="5"/>
      <c r="B134" s="1" t="s">
        <v>50</v>
      </c>
      <c r="C134">
        <v>2016918.442</v>
      </c>
      <c r="D134">
        <v>2017239.172</v>
      </c>
      <c r="E134">
        <v>2094246.362</v>
      </c>
      <c r="F134">
        <v>2290151.1719999998</v>
      </c>
      <c r="G134">
        <v>4303045.2557999995</v>
      </c>
      <c r="H134">
        <v>7088071.5290999999</v>
      </c>
      <c r="I134">
        <v>9890254.615699999</v>
      </c>
      <c r="J134">
        <v>15740815.325999999</v>
      </c>
      <c r="K134">
        <v>21607826.322000001</v>
      </c>
      <c r="L134">
        <v>27495131.289000001</v>
      </c>
      <c r="M134">
        <v>33423235.546</v>
      </c>
      <c r="N134">
        <v>39261531.034999996</v>
      </c>
      <c r="O134">
        <v>47269487.597000003</v>
      </c>
      <c r="P134">
        <v>55362718.855999999</v>
      </c>
      <c r="Q134">
        <v>63554103.380000003</v>
      </c>
      <c r="R134">
        <v>71874550.049999997</v>
      </c>
      <c r="S134">
        <v>80242879.969999999</v>
      </c>
      <c r="T134">
        <v>83374043.859999999</v>
      </c>
      <c r="U134">
        <v>86547445.849999994</v>
      </c>
      <c r="V134">
        <v>89766200.890000001</v>
      </c>
      <c r="W134">
        <v>93066973.159999996</v>
      </c>
      <c r="X134">
        <v>96347651.459999993</v>
      </c>
      <c r="Y134">
        <v>96587768.75</v>
      </c>
      <c r="Z134">
        <v>96810406.540000007</v>
      </c>
      <c r="AA134">
        <v>97021495.939999998</v>
      </c>
      <c r="AB134">
        <v>97241624.210000008</v>
      </c>
      <c r="AC134">
        <v>97184023.480000004</v>
      </c>
      <c r="AD134">
        <v>97322363.489999995</v>
      </c>
      <c r="AE134">
        <v>97456486.939999998</v>
      </c>
      <c r="AF134">
        <v>97318299.340000004</v>
      </c>
      <c r="AG134">
        <v>96196643.340000004</v>
      </c>
      <c r="AH134">
        <v>95779898.239999995</v>
      </c>
      <c r="AK134" s="3" t="str">
        <f ca="1">INDIRECT(ADDRESS(134,2))</f>
        <v>RNG</v>
      </c>
      <c r="AL134" s="3">
        <f ca="1">INDIRECT(ADDRESS(134,3))</f>
        <v>2016918.442</v>
      </c>
      <c r="AM134" s="4">
        <f ca="1">IFERROR(INDIRECT(ADDRESS(134,3)) / INDIRECT(ADDRESS(140,3)),0)</f>
        <v>9.2057008340462121E-4</v>
      </c>
      <c r="AN134" s="3">
        <f ca="1">INDIRECT(ADDRESS(134,9))</f>
        <v>9890254.615699999</v>
      </c>
      <c r="AO134" s="4">
        <f ca="1">IFERROR(INDIRECT(ADDRESS(134,9)) / INDIRECT(ADDRESS(140,9)),0)</f>
        <v>4.8263040252193275E-3</v>
      </c>
      <c r="AP134" s="4">
        <f ca="1">IFERROR((INDIRECT(ADDRESS(134,9)) - INDIRECT(ADDRESS(134,3)))/ INDIRECT(ADDRESS(134,3)),1)</f>
        <v>3.9036462802594567</v>
      </c>
      <c r="AQ134" s="3">
        <f ca="1">INDIRECT(ADDRESS(134,14))</f>
        <v>39261531.034999996</v>
      </c>
      <c r="AR134" s="4">
        <f ca="1">IFERROR(INDIRECT(ADDRESS(134,14)) / INDIRECT(ADDRESS(140,14)),0)</f>
        <v>2.1871518774873863E-2</v>
      </c>
      <c r="AS134" s="4">
        <f ca="1">IFERROR((INDIRECT(ADDRESS(134,14)) - INDIRECT(ADDRESS(134,3)))/ INDIRECT(ADDRESS(134,3)),1)</f>
        <v>18.466097496767297</v>
      </c>
      <c r="AT134" s="3">
        <f ca="1">INDIRECT(ADDRESS(134,19))</f>
        <v>80242879.969999999</v>
      </c>
      <c r="AU134" s="4">
        <f ca="1">IFERROR(INDIRECT(ADDRESS(134,19)) / INDIRECT(ADDRESS(140,19)),0)</f>
        <v>4.8591105172255955E-2</v>
      </c>
      <c r="AV134" s="4">
        <f ca="1">IFERROR((INDIRECT(ADDRESS(134,19)) - INDIRECT(ADDRESS(134,3)))/ INDIRECT(ADDRESS(134,3)),1)</f>
        <v>38.784890801251343</v>
      </c>
      <c r="AW134" s="3">
        <f ca="1">INDIRECT(ADDRESS(134,24))</f>
        <v>96347651.459999993</v>
      </c>
      <c r="AX134" s="4">
        <f ca="1">IFERROR(INDIRECT(ADDRESS(134,24)) / INDIRECT(ADDRESS(140,24)),0)</f>
        <v>6.3812195224301649E-2</v>
      </c>
      <c r="AY134" s="4">
        <f ca="1">IFERROR((INDIRECT(ADDRESS(134,24)) - INDIRECT(ADDRESS(134,3)))/ INDIRECT(ADDRESS(134,3)),1)</f>
        <v>46.769731018206429</v>
      </c>
      <c r="AZ134" s="3">
        <f ca="1">INDIRECT(ADDRESS(134,29))</f>
        <v>97184023.480000004</v>
      </c>
      <c r="BA134" s="4">
        <f ca="1">IFERROR(INDIRECT(ADDRESS(134,29)) / INDIRECT(ADDRESS(140,29)),0)</f>
        <v>6.7225595690192819E-2</v>
      </c>
      <c r="BB134" s="4">
        <f ca="1">IFERROR((INDIRECT(ADDRESS(134,29)) - INDIRECT(ADDRESS(134,3)))/ INDIRECT(ADDRESS(134,3)),1)</f>
        <v>47.184409174042351</v>
      </c>
      <c r="BC134" s="3">
        <f ca="1">INDIRECT(ADDRESS(134,34))</f>
        <v>95779898.239999995</v>
      </c>
      <c r="BD134" s="4">
        <f ca="1">IFERROR(INDIRECT(ADDRESS(134,34)) / INDIRECT(ADDRESS(140,34)),0)</f>
        <v>6.7355423439424397E-2</v>
      </c>
      <c r="BE134" s="4">
        <f ca="1">IFERROR((INDIRECT(ADDRESS(134,34)) - INDIRECT(ADDRESS(134,3)))/ INDIRECT(ADDRESS(134,3)),1)</f>
        <v>46.488235639822662</v>
      </c>
    </row>
    <row r="135" spans="1:57" x14ac:dyDescent="0.25">
      <c r="A135" s="5"/>
      <c r="B135" s="1" t="s">
        <v>104</v>
      </c>
      <c r="C135">
        <v>441453.027</v>
      </c>
      <c r="D135">
        <v>875420.12699999998</v>
      </c>
      <c r="E135">
        <v>875420.12699999998</v>
      </c>
      <c r="F135">
        <v>875420.12699999998</v>
      </c>
      <c r="G135">
        <v>875420.027</v>
      </c>
      <c r="H135">
        <v>875420.12699999998</v>
      </c>
      <c r="I135">
        <v>890851.38800000004</v>
      </c>
      <c r="J135">
        <v>890851.16899999999</v>
      </c>
      <c r="K135">
        <v>890850.95200000005</v>
      </c>
      <c r="L135">
        <v>890850.73700000008</v>
      </c>
      <c r="M135">
        <v>890850.52500000002</v>
      </c>
      <c r="N135">
        <v>877900.11399999994</v>
      </c>
      <c r="O135">
        <v>877903.66399999999</v>
      </c>
      <c r="P135">
        <v>877907.2159999999</v>
      </c>
      <c r="Q135">
        <v>877910.7699999999</v>
      </c>
      <c r="R135">
        <v>877914.326</v>
      </c>
      <c r="S135">
        <v>877917.88399999996</v>
      </c>
      <c r="T135">
        <v>877925.43699999992</v>
      </c>
      <c r="U135">
        <v>877932.99199999997</v>
      </c>
      <c r="V135">
        <v>877940.54999999993</v>
      </c>
      <c r="W135">
        <v>877948.10899999994</v>
      </c>
      <c r="X135">
        <v>877955.67099999997</v>
      </c>
      <c r="Y135">
        <v>877958.41999999993</v>
      </c>
      <c r="Z135">
        <v>877961.17099999997</v>
      </c>
      <c r="AA135">
        <v>877963.924</v>
      </c>
      <c r="AB135">
        <v>877966.679</v>
      </c>
      <c r="AC135">
        <v>868352.13600000006</v>
      </c>
      <c r="AD135">
        <v>868351.37300000002</v>
      </c>
      <c r="AE135">
        <v>868350.61100000003</v>
      </c>
      <c r="AF135">
        <v>868349.85200000007</v>
      </c>
      <c r="AG135">
        <v>868349.09400000004</v>
      </c>
      <c r="AH135">
        <v>868348.33900000004</v>
      </c>
      <c r="AK135" s="3" t="str">
        <f ca="1">INDIRECT(ADDRESS(135,2))</f>
        <v>Solar</v>
      </c>
      <c r="AL135" s="3">
        <f ca="1">INDIRECT(ADDRESS(135,3))</f>
        <v>441453.027</v>
      </c>
      <c r="AM135" s="4">
        <f ca="1">IFERROR(INDIRECT(ADDRESS(135,3)) / INDIRECT(ADDRESS(140,3)),0)</f>
        <v>2.0148977837776769E-4</v>
      </c>
      <c r="AN135" s="3">
        <f ca="1">INDIRECT(ADDRESS(135,9))</f>
        <v>890851.38800000004</v>
      </c>
      <c r="AO135" s="4">
        <f ca="1">IFERROR(INDIRECT(ADDRESS(135,9)) / INDIRECT(ADDRESS(140,9)),0)</f>
        <v>4.3472284656367454E-4</v>
      </c>
      <c r="AP135" s="4">
        <f ca="1">IFERROR((INDIRECT(ADDRESS(135,9)) - INDIRECT(ADDRESS(135,3)))/ INDIRECT(ADDRESS(135,3)),1)</f>
        <v>1.0179981413968195</v>
      </c>
      <c r="AQ135" s="3">
        <f ca="1">INDIRECT(ADDRESS(135,14))</f>
        <v>877900.11399999994</v>
      </c>
      <c r="AR135" s="4">
        <f ca="1">IFERROR(INDIRECT(ADDRESS(135,14)) / INDIRECT(ADDRESS(140,14)),0)</f>
        <v>4.8905400068830775E-4</v>
      </c>
      <c r="AS135" s="4">
        <f ca="1">IFERROR((INDIRECT(ADDRESS(135,14)) - INDIRECT(ADDRESS(135,3)))/ INDIRECT(ADDRESS(135,3)),1)</f>
        <v>0.98866031107767205</v>
      </c>
      <c r="AT135" s="3">
        <f ca="1">INDIRECT(ADDRESS(135,19))</f>
        <v>877917.88399999996</v>
      </c>
      <c r="AU135" s="4">
        <f ca="1">IFERROR(INDIRECT(ADDRESS(135,19)) / INDIRECT(ADDRESS(140,19)),0)</f>
        <v>5.3162349419658302E-4</v>
      </c>
      <c r="AV135" s="4">
        <f ca="1">IFERROR((INDIRECT(ADDRESS(135,19)) - INDIRECT(ADDRESS(135,3)))/ INDIRECT(ADDRESS(135,3)),1)</f>
        <v>0.98870056451102317</v>
      </c>
      <c r="AW135" s="3">
        <f ca="1">INDIRECT(ADDRESS(135,24))</f>
        <v>877955.67099999997</v>
      </c>
      <c r="AX135" s="4">
        <f ca="1">IFERROR(INDIRECT(ADDRESS(135,24)) / INDIRECT(ADDRESS(140,24)),0)</f>
        <v>5.8148048060511332E-4</v>
      </c>
      <c r="AY135" s="4">
        <f ca="1">IFERROR((INDIRECT(ADDRESS(135,24)) - INDIRECT(ADDRESS(135,3)))/ INDIRECT(ADDRESS(135,3)),1)</f>
        <v>0.98878616138699615</v>
      </c>
      <c r="AZ135" s="3">
        <f ca="1">INDIRECT(ADDRESS(135,29))</f>
        <v>868352.13600000006</v>
      </c>
      <c r="BA135" s="4">
        <f ca="1">IFERROR(INDIRECT(ADDRESS(135,29)) / INDIRECT(ADDRESS(140,29)),0)</f>
        <v>6.0066961133240914E-4</v>
      </c>
      <c r="BB135" s="4">
        <f ca="1">IFERROR((INDIRECT(ADDRESS(135,29)) - INDIRECT(ADDRESS(135,3)))/ INDIRECT(ADDRESS(135,3)),1)</f>
        <v>0.96703178569438164</v>
      </c>
      <c r="BC135" s="3">
        <f ca="1">INDIRECT(ADDRESS(135,34))</f>
        <v>868348.33900000004</v>
      </c>
      <c r="BD135" s="4">
        <f ca="1">IFERROR(INDIRECT(ADDRESS(135,34)) / INDIRECT(ADDRESS(140,34)),0)</f>
        <v>6.1064974113576431E-4</v>
      </c>
      <c r="BE135" s="4">
        <f ca="1">IFERROR((INDIRECT(ADDRESS(135,34)) - INDIRECT(ADDRESS(135,3)))/ INDIRECT(ADDRESS(135,3)),1)</f>
        <v>0.96702318455277014</v>
      </c>
    </row>
    <row r="136" spans="1:57" x14ac:dyDescent="0.25">
      <c r="A136" s="5"/>
      <c r="B136" s="1" t="s">
        <v>105</v>
      </c>
      <c r="C136">
        <v>62627730</v>
      </c>
      <c r="D136">
        <v>62679890</v>
      </c>
      <c r="E136">
        <v>62679890</v>
      </c>
      <c r="F136">
        <v>62679890</v>
      </c>
      <c r="G136">
        <v>62679880</v>
      </c>
      <c r="H136">
        <v>62679880</v>
      </c>
      <c r="I136">
        <v>64278340</v>
      </c>
      <c r="J136">
        <v>64278340</v>
      </c>
      <c r="K136">
        <v>64278340</v>
      </c>
      <c r="L136">
        <v>64278340</v>
      </c>
      <c r="M136">
        <v>64278340</v>
      </c>
      <c r="N136">
        <v>62937150</v>
      </c>
      <c r="O136">
        <v>62937150</v>
      </c>
      <c r="P136">
        <v>62937150</v>
      </c>
      <c r="Q136">
        <v>62937160</v>
      </c>
      <c r="R136">
        <v>62937150</v>
      </c>
      <c r="S136">
        <v>62937160</v>
      </c>
      <c r="T136">
        <v>62937160</v>
      </c>
      <c r="U136">
        <v>62937150</v>
      </c>
      <c r="V136">
        <v>62937150</v>
      </c>
      <c r="W136">
        <v>62937150</v>
      </c>
      <c r="X136">
        <v>62937150</v>
      </c>
      <c r="Y136">
        <v>62937160</v>
      </c>
      <c r="Z136">
        <v>62937150</v>
      </c>
      <c r="AA136">
        <v>62937150</v>
      </c>
      <c r="AB136">
        <v>62937150</v>
      </c>
      <c r="AC136">
        <v>61941140</v>
      </c>
      <c r="AD136">
        <v>61941140</v>
      </c>
      <c r="AE136">
        <v>61941140</v>
      </c>
      <c r="AF136">
        <v>61941140</v>
      </c>
      <c r="AG136">
        <v>61941140</v>
      </c>
      <c r="AH136">
        <v>61941140</v>
      </c>
      <c r="AK136" s="3" t="str">
        <f ca="1">INDIRECT(ADDRESS(136,2))</f>
        <v>Uranium</v>
      </c>
      <c r="AL136" s="3">
        <f ca="1">INDIRECT(ADDRESS(136,3))</f>
        <v>62627730</v>
      </c>
      <c r="AM136" s="4">
        <f ca="1">IFERROR(INDIRECT(ADDRESS(136,3)) / INDIRECT(ADDRESS(140,3)),0)</f>
        <v>2.8584802156091396E-2</v>
      </c>
      <c r="AN136" s="3">
        <f ca="1">INDIRECT(ADDRESS(136,9))</f>
        <v>64278340</v>
      </c>
      <c r="AO136" s="4">
        <f ca="1">IFERROR(INDIRECT(ADDRESS(136,9)) / INDIRECT(ADDRESS(140,9)),0)</f>
        <v>3.1366918560818031E-2</v>
      </c>
      <c r="AP136" s="4">
        <f ca="1">IFERROR((INDIRECT(ADDRESS(136,9)) - INDIRECT(ADDRESS(136,3)))/ INDIRECT(ADDRESS(136,3)),1)</f>
        <v>2.6355896980458975E-2</v>
      </c>
      <c r="AQ136" s="3">
        <f ca="1">INDIRECT(ADDRESS(136,14))</f>
        <v>62937150</v>
      </c>
      <c r="AR136" s="4">
        <f ca="1">IFERROR(INDIRECT(ADDRESS(136,14)) / INDIRECT(ADDRESS(140,14)),0)</f>
        <v>3.5060554735752238E-2</v>
      </c>
      <c r="AS136" s="4">
        <f ca="1">IFERROR((INDIRECT(ADDRESS(136,14)) - INDIRECT(ADDRESS(136,3)))/ INDIRECT(ADDRESS(136,3)),1)</f>
        <v>4.940622947694256E-3</v>
      </c>
      <c r="AT136" s="3">
        <f ca="1">INDIRECT(ADDRESS(136,19))</f>
        <v>62937160</v>
      </c>
      <c r="AU136" s="4">
        <f ca="1">IFERROR(INDIRECT(ADDRESS(136,19)) / INDIRECT(ADDRESS(140,19)),0)</f>
        <v>3.8111620145568674E-2</v>
      </c>
      <c r="AV136" s="4">
        <f ca="1">IFERROR((INDIRECT(ADDRESS(136,19)) - INDIRECT(ADDRESS(136,3)))/ INDIRECT(ADDRESS(136,3)),1)</f>
        <v>4.9407826213723541E-3</v>
      </c>
      <c r="AW136" s="3">
        <f ca="1">INDIRECT(ADDRESS(136,24))</f>
        <v>62937150</v>
      </c>
      <c r="AX136" s="4">
        <f ca="1">IFERROR(INDIRECT(ADDRESS(136,24)) / INDIRECT(ADDRESS(140,24)),0)</f>
        <v>4.168402282569926E-2</v>
      </c>
      <c r="AY136" s="4">
        <f ca="1">IFERROR((INDIRECT(ADDRESS(136,24)) - INDIRECT(ADDRESS(136,3)))/ INDIRECT(ADDRESS(136,3)),1)</f>
        <v>4.940622947694256E-3</v>
      </c>
      <c r="AZ136" s="3">
        <f ca="1">INDIRECT(ADDRESS(136,29))</f>
        <v>61941140</v>
      </c>
      <c r="BA136" s="4">
        <f ca="1">IFERROR(INDIRECT(ADDRESS(136,29)) / INDIRECT(ADDRESS(140,29)),0)</f>
        <v>4.2846857797429701E-2</v>
      </c>
      <c r="BB136" s="4">
        <f ca="1">IFERROR((INDIRECT(ADDRESS(136,29)) - INDIRECT(ADDRESS(136,3)))/ INDIRECT(ADDRESS(136,3)),1)</f>
        <v>-1.0963035064499384E-2</v>
      </c>
      <c r="BC136" s="3">
        <f ca="1">INDIRECT(ADDRESS(136,34))</f>
        <v>61941140</v>
      </c>
      <c r="BD136" s="4">
        <f ca="1">IFERROR(INDIRECT(ADDRESS(136,34)) / INDIRECT(ADDRESS(140,34)),0)</f>
        <v>4.3558949108157538E-2</v>
      </c>
      <c r="BE136" s="4">
        <f ca="1">IFERROR((INDIRECT(ADDRESS(136,34)) - INDIRECT(ADDRESS(136,3)))/ INDIRECT(ADDRESS(136,3)),1)</f>
        <v>-1.0963035064499384E-2</v>
      </c>
    </row>
    <row r="137" spans="1:57" x14ac:dyDescent="0.25">
      <c r="A137" s="5"/>
      <c r="B137" s="1" t="s">
        <v>106</v>
      </c>
      <c r="C137">
        <v>363857100</v>
      </c>
      <c r="D137">
        <v>364100300</v>
      </c>
      <c r="E137">
        <v>364100300</v>
      </c>
      <c r="F137">
        <v>364100300</v>
      </c>
      <c r="G137">
        <v>364100300</v>
      </c>
      <c r="H137">
        <v>364100300</v>
      </c>
      <c r="I137">
        <v>374913700</v>
      </c>
      <c r="J137">
        <v>374913700</v>
      </c>
      <c r="K137">
        <v>374913700</v>
      </c>
      <c r="L137">
        <v>374913700</v>
      </c>
      <c r="M137">
        <v>374913700</v>
      </c>
      <c r="N137">
        <v>361308900</v>
      </c>
      <c r="O137">
        <v>361308900</v>
      </c>
      <c r="P137">
        <v>361308900</v>
      </c>
      <c r="Q137">
        <v>361308900</v>
      </c>
      <c r="R137">
        <v>361308900</v>
      </c>
      <c r="S137">
        <v>361308900</v>
      </c>
      <c r="T137">
        <v>361308900</v>
      </c>
      <c r="U137">
        <v>361308900</v>
      </c>
      <c r="V137">
        <v>361308900</v>
      </c>
      <c r="W137">
        <v>361308900</v>
      </c>
      <c r="X137">
        <v>361308900</v>
      </c>
      <c r="Y137">
        <v>361308900</v>
      </c>
      <c r="Z137">
        <v>361308900</v>
      </c>
      <c r="AA137">
        <v>361308900</v>
      </c>
      <c r="AB137">
        <v>361308900</v>
      </c>
      <c r="AC137">
        <v>353505700</v>
      </c>
      <c r="AD137">
        <v>353505700</v>
      </c>
      <c r="AE137">
        <v>353505700</v>
      </c>
      <c r="AF137">
        <v>353505700</v>
      </c>
      <c r="AG137">
        <v>353505700</v>
      </c>
      <c r="AH137">
        <v>353505700</v>
      </c>
      <c r="AK137" s="3" t="str">
        <f ca="1">INDIRECT(ADDRESS(137,2))</f>
        <v>Water</v>
      </c>
      <c r="AL137" s="3">
        <f ca="1">INDIRECT(ADDRESS(137,3))</f>
        <v>363857100</v>
      </c>
      <c r="AM137" s="4">
        <f ca="1">IFERROR(INDIRECT(ADDRESS(137,3)) / INDIRECT(ADDRESS(140,3)),0)</f>
        <v>0.16607313112880129</v>
      </c>
      <c r="AN137" s="3">
        <f ca="1">INDIRECT(ADDRESS(137,9))</f>
        <v>374913700</v>
      </c>
      <c r="AO137" s="4">
        <f ca="1">IFERROR(INDIRECT(ADDRESS(137,9)) / INDIRECT(ADDRESS(140,9)),0)</f>
        <v>0.18295256995179032</v>
      </c>
      <c r="AP137" s="4">
        <f ca="1">IFERROR((INDIRECT(ADDRESS(137,9)) - INDIRECT(ADDRESS(137,3)))/ INDIRECT(ADDRESS(137,3)),1)</f>
        <v>3.0387204207366025E-2</v>
      </c>
      <c r="AQ137" s="3">
        <f ca="1">INDIRECT(ADDRESS(137,14))</f>
        <v>361308900</v>
      </c>
      <c r="AR137" s="4">
        <f ca="1">IFERROR(INDIRECT(ADDRESS(137,14)) / INDIRECT(ADDRESS(140,14)),0)</f>
        <v>0.20127524784589756</v>
      </c>
      <c r="AS137" s="4">
        <f ca="1">IFERROR((INDIRECT(ADDRESS(137,14)) - INDIRECT(ADDRESS(137,3)))/ INDIRECT(ADDRESS(137,3)),1)</f>
        <v>-7.0032988225322522E-3</v>
      </c>
      <c r="AT137" s="3">
        <f ca="1">INDIRECT(ADDRESS(137,19))</f>
        <v>361308900</v>
      </c>
      <c r="AU137" s="4">
        <f ca="1">IFERROR(INDIRECT(ADDRESS(137,19)) / INDIRECT(ADDRESS(140,19)),0)</f>
        <v>0.21879073590249792</v>
      </c>
      <c r="AV137" s="4">
        <f ca="1">IFERROR((INDIRECT(ADDRESS(137,19)) - INDIRECT(ADDRESS(137,3)))/ INDIRECT(ADDRESS(137,3)),1)</f>
        <v>-7.0032988225322522E-3</v>
      </c>
      <c r="AW137" s="3">
        <f ca="1">INDIRECT(ADDRESS(137,24))</f>
        <v>361308900</v>
      </c>
      <c r="AX137" s="4">
        <f ca="1">IFERROR(INDIRECT(ADDRESS(137,24)) / INDIRECT(ADDRESS(140,24)),0)</f>
        <v>0.23929918076570503</v>
      </c>
      <c r="AY137" s="4">
        <f ca="1">IFERROR((INDIRECT(ADDRESS(137,24)) - INDIRECT(ADDRESS(137,3)))/ INDIRECT(ADDRESS(137,3)),1)</f>
        <v>-7.0032988225322522E-3</v>
      </c>
      <c r="AZ137" s="3">
        <f ca="1">INDIRECT(ADDRESS(137,29))</f>
        <v>353505700</v>
      </c>
      <c r="BA137" s="4">
        <f ca="1">IFERROR(INDIRECT(ADDRESS(137,29)) / INDIRECT(ADDRESS(140,29)),0)</f>
        <v>0.24453228433446406</v>
      </c>
      <c r="BB137" s="4">
        <f ca="1">IFERROR((INDIRECT(ADDRESS(137,29)) - INDIRECT(ADDRESS(137,3)))/ INDIRECT(ADDRESS(137,3)),1)</f>
        <v>-2.844908069679003E-2</v>
      </c>
      <c r="BC137" s="3">
        <f ca="1">INDIRECT(ADDRESS(137,34))</f>
        <v>353505700</v>
      </c>
      <c r="BD137" s="4">
        <f ca="1">IFERROR(INDIRECT(ADDRESS(137,34)) / INDIRECT(ADDRESS(140,34)),0)</f>
        <v>0.24859627697752426</v>
      </c>
      <c r="BE137" s="4">
        <f ca="1">IFERROR((INDIRECT(ADDRESS(137,34)) - INDIRECT(ADDRESS(137,3)))/ INDIRECT(ADDRESS(137,3)),1)</f>
        <v>-2.844908069679003E-2</v>
      </c>
    </row>
    <row r="138" spans="1:57" x14ac:dyDescent="0.25">
      <c r="A138" s="5"/>
      <c r="B138" s="1" t="s">
        <v>107</v>
      </c>
      <c r="C138">
        <v>43192630</v>
      </c>
      <c r="D138">
        <v>42283730</v>
      </c>
      <c r="E138">
        <v>42283730</v>
      </c>
      <c r="F138">
        <v>42283730</v>
      </c>
      <c r="G138">
        <v>42283730</v>
      </c>
      <c r="H138">
        <v>42283730</v>
      </c>
      <c r="I138">
        <v>43310320</v>
      </c>
      <c r="J138">
        <v>43310320</v>
      </c>
      <c r="K138">
        <v>43310320</v>
      </c>
      <c r="L138">
        <v>43310320</v>
      </c>
      <c r="M138">
        <v>43310320</v>
      </c>
      <c r="N138">
        <v>45191080</v>
      </c>
      <c r="O138">
        <v>45191080</v>
      </c>
      <c r="P138">
        <v>45191080</v>
      </c>
      <c r="Q138">
        <v>45191080</v>
      </c>
      <c r="R138">
        <v>45191080</v>
      </c>
      <c r="S138">
        <v>45191080</v>
      </c>
      <c r="T138">
        <v>45191080</v>
      </c>
      <c r="U138">
        <v>45191080</v>
      </c>
      <c r="V138">
        <v>45191080</v>
      </c>
      <c r="W138">
        <v>45191080</v>
      </c>
      <c r="X138">
        <v>45191080</v>
      </c>
      <c r="Y138">
        <v>45191080</v>
      </c>
      <c r="Z138">
        <v>45191080</v>
      </c>
      <c r="AA138">
        <v>45191080</v>
      </c>
      <c r="AB138">
        <v>45191080</v>
      </c>
      <c r="AC138">
        <v>45456160</v>
      </c>
      <c r="AD138">
        <v>45456160</v>
      </c>
      <c r="AE138">
        <v>45456160</v>
      </c>
      <c r="AF138">
        <v>45456160</v>
      </c>
      <c r="AG138">
        <v>45456160</v>
      </c>
      <c r="AH138">
        <v>45456160</v>
      </c>
      <c r="AK138" s="3" t="str">
        <f ca="1">INDIRECT(ADDRESS(138,2))</f>
        <v>Wind</v>
      </c>
      <c r="AL138" s="3">
        <f ca="1">INDIRECT(ADDRESS(138,3))</f>
        <v>43192630</v>
      </c>
      <c r="AM138" s="4">
        <f ca="1">IFERROR(INDIRECT(ADDRESS(138,3)) / INDIRECT(ADDRESS(140,3)),0)</f>
        <v>1.9714155105913275E-2</v>
      </c>
      <c r="AN138" s="3">
        <f ca="1">INDIRECT(ADDRESS(138,9))</f>
        <v>43310320</v>
      </c>
      <c r="AO138" s="4">
        <f ca="1">IFERROR(INDIRECT(ADDRESS(138,9)) / INDIRECT(ADDRESS(140,9)),0)</f>
        <v>2.1134822092215951E-2</v>
      </c>
      <c r="AP138" s="4">
        <f ca="1">IFERROR((INDIRECT(ADDRESS(138,9)) - INDIRECT(ADDRESS(138,3)))/ INDIRECT(ADDRESS(138,3)),1)</f>
        <v>2.7247704064327642E-3</v>
      </c>
      <c r="AQ138" s="3">
        <f ca="1">INDIRECT(ADDRESS(138,14))</f>
        <v>45191080</v>
      </c>
      <c r="AR138" s="4">
        <f ca="1">IFERROR(INDIRECT(ADDRESS(138,14)) / INDIRECT(ADDRESS(140,14)),0)</f>
        <v>2.5174707369300296E-2</v>
      </c>
      <c r="AS138" s="4">
        <f ca="1">IFERROR((INDIRECT(ADDRESS(138,14)) - INDIRECT(ADDRESS(138,3)))/ INDIRECT(ADDRESS(138,3)),1)</f>
        <v>4.6268310126056228E-2</v>
      </c>
      <c r="AT138" s="3">
        <f ca="1">INDIRECT(ADDRESS(138,19))</f>
        <v>45191080</v>
      </c>
      <c r="AU138" s="4">
        <f ca="1">IFERROR(INDIRECT(ADDRESS(138,19)) / INDIRECT(ADDRESS(140,19)),0)</f>
        <v>2.7365474942434732E-2</v>
      </c>
      <c r="AV138" s="4">
        <f ca="1">IFERROR((INDIRECT(ADDRESS(138,19)) - INDIRECT(ADDRESS(138,3)))/ INDIRECT(ADDRESS(138,3)),1)</f>
        <v>4.6268310126056228E-2</v>
      </c>
      <c r="AW138" s="3">
        <f ca="1">INDIRECT(ADDRESS(138,24))</f>
        <v>45191080</v>
      </c>
      <c r="AX138" s="4">
        <f ca="1">IFERROR(INDIRECT(ADDRESS(138,24)) / INDIRECT(ADDRESS(140,24)),0)</f>
        <v>2.993058964757701E-2</v>
      </c>
      <c r="AY138" s="4">
        <f ca="1">IFERROR((INDIRECT(ADDRESS(138,24)) - INDIRECT(ADDRESS(138,3)))/ INDIRECT(ADDRESS(138,3)),1)</f>
        <v>4.6268310126056228E-2</v>
      </c>
      <c r="AZ138" s="3">
        <f ca="1">INDIRECT(ADDRESS(138,29))</f>
        <v>45456160</v>
      </c>
      <c r="BA138" s="4">
        <f ca="1">IFERROR(INDIRECT(ADDRESS(138,29)) / INDIRECT(ADDRESS(140,29)),0)</f>
        <v>3.1443619273671945E-2</v>
      </c>
      <c r="BB138" s="4">
        <f ca="1">IFERROR((INDIRECT(ADDRESS(138,29)) - INDIRECT(ADDRESS(138,3)))/ INDIRECT(ADDRESS(138,3)),1)</f>
        <v>5.2405468247708004E-2</v>
      </c>
      <c r="BC138" s="3">
        <f ca="1">INDIRECT(ADDRESS(138,34))</f>
        <v>45456160</v>
      </c>
      <c r="BD138" s="4">
        <f ca="1">IFERROR(INDIRECT(ADDRESS(138,34)) / INDIRECT(ADDRESS(140,34)),0)</f>
        <v>3.1966195005327096E-2</v>
      </c>
      <c r="BE138" s="4">
        <f ca="1">IFERROR((INDIRECT(ADDRESS(138,34)) - INDIRECT(ADDRESS(138,3)))/ INDIRECT(ADDRESS(138,3)),1)</f>
        <v>5.2405468247708004E-2</v>
      </c>
    </row>
    <row r="139" spans="1:57" x14ac:dyDescent="0.25">
      <c r="A139" s="5"/>
      <c r="B139" s="1" t="s">
        <v>51</v>
      </c>
      <c r="C139">
        <v>125996294</v>
      </c>
      <c r="D139">
        <v>126012723</v>
      </c>
      <c r="E139">
        <v>125922658</v>
      </c>
      <c r="F139">
        <v>125802599</v>
      </c>
      <c r="G139">
        <v>125612669</v>
      </c>
      <c r="H139">
        <v>125369606</v>
      </c>
      <c r="I139">
        <v>124670931</v>
      </c>
      <c r="J139">
        <v>122957599</v>
      </c>
      <c r="K139">
        <v>121259706</v>
      </c>
      <c r="L139">
        <v>119560394</v>
      </c>
      <c r="M139">
        <v>117842191</v>
      </c>
      <c r="N139">
        <v>114903053</v>
      </c>
      <c r="O139">
        <v>113218793</v>
      </c>
      <c r="P139">
        <v>111573359</v>
      </c>
      <c r="Q139">
        <v>109989545</v>
      </c>
      <c r="R139">
        <v>108484646</v>
      </c>
      <c r="S139">
        <v>107069470</v>
      </c>
      <c r="T139">
        <v>105795551.2</v>
      </c>
      <c r="U139">
        <v>104613916.09999999</v>
      </c>
      <c r="V139">
        <v>103517515</v>
      </c>
      <c r="W139">
        <v>102496051.09999999</v>
      </c>
      <c r="X139">
        <v>101536529.90000001</v>
      </c>
      <c r="Y139">
        <v>100583261.40000001</v>
      </c>
      <c r="Z139">
        <v>99669523.980000004</v>
      </c>
      <c r="AA139">
        <v>98787972.819999993</v>
      </c>
      <c r="AB139">
        <v>97934238.700000003</v>
      </c>
      <c r="AC139">
        <v>96375386.560000002</v>
      </c>
      <c r="AD139">
        <v>95530908.189999998</v>
      </c>
      <c r="AE139">
        <v>94707232.420000002</v>
      </c>
      <c r="AF139">
        <v>93903208.5</v>
      </c>
      <c r="AG139">
        <v>93117895.739999995</v>
      </c>
      <c r="AH139">
        <v>92350630.390000001</v>
      </c>
      <c r="AK139" s="3" t="str">
        <f ca="1">INDIRECT(ADDRESS(139,2))</f>
        <v>Wood</v>
      </c>
      <c r="AL139" s="3">
        <f ca="1">INDIRECT(ADDRESS(139,3))</f>
        <v>125996294</v>
      </c>
      <c r="AM139" s="4">
        <f ca="1">IFERROR(INDIRECT(ADDRESS(139,3)) / INDIRECT(ADDRESS(140,3)),0)</f>
        <v>5.7507738766688903E-2</v>
      </c>
      <c r="AN139" s="3">
        <f ca="1">INDIRECT(ADDRESS(139,9))</f>
        <v>124670931</v>
      </c>
      <c r="AO139" s="4">
        <f ca="1">IFERROR(INDIRECT(ADDRESS(139,9)) / INDIRECT(ADDRESS(140,9)),0)</f>
        <v>6.0837646703047463E-2</v>
      </c>
      <c r="AP139" s="4">
        <f ca="1">IFERROR((INDIRECT(ADDRESS(139,9)) - INDIRECT(ADDRESS(139,3)))/ INDIRECT(ADDRESS(139,3)),1)</f>
        <v>-1.0519063362292228E-2</v>
      </c>
      <c r="AQ139" s="3">
        <f ca="1">INDIRECT(ADDRESS(139,14))</f>
        <v>114903053</v>
      </c>
      <c r="AR139" s="4">
        <f ca="1">IFERROR(INDIRECT(ADDRESS(139,14)) / INDIRECT(ADDRESS(140,14)),0)</f>
        <v>6.4009329609166291E-2</v>
      </c>
      <c r="AS139" s="4">
        <f ca="1">IFERROR((INDIRECT(ADDRESS(139,14)) - INDIRECT(ADDRESS(139,3)))/ INDIRECT(ADDRESS(139,3)),1)</f>
        <v>-8.8044184855151378E-2</v>
      </c>
      <c r="AT139" s="3">
        <f ca="1">INDIRECT(ADDRESS(139,19))</f>
        <v>107069470</v>
      </c>
      <c r="AU139" s="4">
        <f ca="1">IFERROR(INDIRECT(ADDRESS(139,19)) / INDIRECT(ADDRESS(140,19)),0)</f>
        <v>6.4835956529137317E-2</v>
      </c>
      <c r="AV139" s="4">
        <f ca="1">IFERROR((INDIRECT(ADDRESS(139,19)) - INDIRECT(ADDRESS(139,3)))/ INDIRECT(ADDRESS(139,3)),1)</f>
        <v>-0.15021730718524148</v>
      </c>
      <c r="AW139" s="3">
        <f ca="1">INDIRECT(ADDRESS(139,24))</f>
        <v>101536529.90000001</v>
      </c>
      <c r="AX139" s="4">
        <f ca="1">IFERROR(INDIRECT(ADDRESS(139,24)) / INDIRECT(ADDRESS(140,24)),0)</f>
        <v>6.7248851115658967E-2</v>
      </c>
      <c r="AY139" s="4">
        <f ca="1">IFERROR((INDIRECT(ADDRESS(139,24)) - INDIRECT(ADDRESS(139,3)))/ INDIRECT(ADDRESS(139,3)),1)</f>
        <v>-0.19413082181607655</v>
      </c>
      <c r="AZ139" s="3">
        <f ca="1">INDIRECT(ADDRESS(139,29))</f>
        <v>96375386.560000002</v>
      </c>
      <c r="BA139" s="4">
        <f ca="1">IFERROR(INDIRECT(ADDRESS(139,29)) / INDIRECT(ADDRESS(140,29)),0)</f>
        <v>6.6666233187000407E-2</v>
      </c>
      <c r="BB139" s="4">
        <f ca="1">IFERROR((INDIRECT(ADDRESS(139,29)) - INDIRECT(ADDRESS(139,3)))/ INDIRECT(ADDRESS(139,3)),1)</f>
        <v>-0.23509348171780353</v>
      </c>
      <c r="BC139" s="3">
        <f ca="1">INDIRECT(ADDRESS(139,34))</f>
        <v>92350630.390000001</v>
      </c>
      <c r="BD139" s="4">
        <f ca="1">IFERROR(INDIRECT(ADDRESS(139,34)) / INDIRECT(ADDRESS(140,34)),0)</f>
        <v>6.4943854912329305E-2</v>
      </c>
      <c r="BE139" s="4">
        <f ca="1">IFERROR((INDIRECT(ADDRESS(139,34)) - INDIRECT(ADDRESS(139,3)))/ INDIRECT(ADDRESS(139,3)),1)</f>
        <v>-0.26703693054654448</v>
      </c>
    </row>
    <row r="140" spans="1:57" x14ac:dyDescent="0.25">
      <c r="A140" s="1" t="s">
        <v>21</v>
      </c>
      <c r="B140" s="1"/>
      <c r="C140">
        <v>2190945022.3937998</v>
      </c>
      <c r="D140">
        <v>2181013091.4938002</v>
      </c>
      <c r="E140">
        <v>2168649074.6283998</v>
      </c>
      <c r="F140">
        <v>2159616601.4717999</v>
      </c>
      <c r="G140">
        <v>2149259973.68575</v>
      </c>
      <c r="H140">
        <v>2129351313.5854001</v>
      </c>
      <c r="I140">
        <v>2049239866.3697</v>
      </c>
      <c r="J140">
        <v>2017342224.2779</v>
      </c>
      <c r="K140">
        <v>1983278938.6368001</v>
      </c>
      <c r="L140">
        <v>1947974959.7467999</v>
      </c>
      <c r="M140">
        <v>1910528538.2958</v>
      </c>
      <c r="N140">
        <v>1795098522.3808</v>
      </c>
      <c r="O140">
        <v>1765010340.2874999</v>
      </c>
      <c r="P140">
        <v>1736590467.7692001</v>
      </c>
      <c r="Q140">
        <v>1708692602.7760999</v>
      </c>
      <c r="R140">
        <v>1677397580.70978</v>
      </c>
      <c r="S140">
        <v>1651390304.5740199</v>
      </c>
      <c r="T140">
        <v>1623283629.40571</v>
      </c>
      <c r="U140">
        <v>1594626269.2135899</v>
      </c>
      <c r="V140">
        <v>1565793868.5339701</v>
      </c>
      <c r="W140">
        <v>1536855111.3914001</v>
      </c>
      <c r="X140">
        <v>1509862670.0011699</v>
      </c>
      <c r="Y140">
        <v>1498233663.5445499</v>
      </c>
      <c r="Z140">
        <v>1488540708.2843699</v>
      </c>
      <c r="AA140">
        <v>1479867890.2606599</v>
      </c>
      <c r="AB140">
        <v>1471947696.4049699</v>
      </c>
      <c r="AC140">
        <v>1445640198.2344601</v>
      </c>
      <c r="AD140">
        <v>1439799924.4507401</v>
      </c>
      <c r="AE140">
        <v>1434590585.3357201</v>
      </c>
      <c r="AF140">
        <v>1429918983.755455</v>
      </c>
      <c r="AG140">
        <v>1425149179.985594</v>
      </c>
      <c r="AH140">
        <v>1422007217.074939</v>
      </c>
    </row>
    <row r="141" spans="1:57" x14ac:dyDescent="0.25">
      <c r="A141" s="5" t="s">
        <v>6</v>
      </c>
      <c r="B141" s="1" t="s">
        <v>100</v>
      </c>
      <c r="C141">
        <v>52357190</v>
      </c>
      <c r="D141">
        <v>52357190</v>
      </c>
      <c r="E141">
        <v>52357190</v>
      </c>
      <c r="F141">
        <v>52357190</v>
      </c>
      <c r="G141">
        <v>52357190</v>
      </c>
      <c r="H141">
        <v>52357190</v>
      </c>
      <c r="I141">
        <v>52357184</v>
      </c>
      <c r="J141">
        <v>52357184</v>
      </c>
      <c r="K141">
        <v>52357181</v>
      </c>
      <c r="L141">
        <v>52357183</v>
      </c>
      <c r="M141">
        <v>52357182</v>
      </c>
      <c r="N141">
        <v>52357187</v>
      </c>
      <c r="O141">
        <v>52357178</v>
      </c>
      <c r="P141">
        <v>52357186</v>
      </c>
      <c r="Q141">
        <v>52357180</v>
      </c>
      <c r="R141">
        <v>52357190</v>
      </c>
      <c r="S141">
        <v>52357186</v>
      </c>
      <c r="T141">
        <v>52357188</v>
      </c>
      <c r="U141">
        <v>52357187</v>
      </c>
      <c r="V141">
        <v>52357183</v>
      </c>
      <c r="W141">
        <v>52357184</v>
      </c>
      <c r="X141">
        <v>52357182</v>
      </c>
      <c r="Y141">
        <v>52357186</v>
      </c>
      <c r="Z141">
        <v>52357187</v>
      </c>
      <c r="AA141">
        <v>52357184</v>
      </c>
      <c r="AB141">
        <v>52357188</v>
      </c>
      <c r="AC141">
        <v>52357187</v>
      </c>
      <c r="AD141">
        <v>52357184</v>
      </c>
      <c r="AE141">
        <v>52357187</v>
      </c>
      <c r="AF141">
        <v>52357186</v>
      </c>
      <c r="AG141">
        <v>52357182</v>
      </c>
      <c r="AH141">
        <v>52357184</v>
      </c>
      <c r="AK141" s="3" t="str">
        <f ca="1">INDIRECT(ADDRESS(141,2))</f>
        <v>Chp</v>
      </c>
      <c r="AL141" s="3">
        <f ca="1">INDIRECT(ADDRESS(141,3))</f>
        <v>52357190</v>
      </c>
      <c r="AM141" s="4">
        <f ca="1">IFERROR(INDIRECT(ADDRESS(141,3)) / INDIRECT(ADDRESS(159,3)),0)</f>
        <v>2.389708069570599E-2</v>
      </c>
      <c r="AN141" s="3">
        <f ca="1">INDIRECT(ADDRESS(141,9))</f>
        <v>52357184</v>
      </c>
      <c r="AO141" s="4">
        <f ca="1">IFERROR(INDIRECT(ADDRESS(141,9)) / INDIRECT(ADDRESS(159,9)),0)</f>
        <v>2.5579035282690666E-2</v>
      </c>
      <c r="AP141" s="4">
        <f ca="1">IFERROR((INDIRECT(ADDRESS(141,9)) - INDIRECT(ADDRESS(141,3)))/ INDIRECT(ADDRESS(141,3)),1)</f>
        <v>-1.1459744115373648E-7</v>
      </c>
      <c r="AQ141" s="3">
        <f ca="1">INDIRECT(ADDRESS(141,14))</f>
        <v>52357187</v>
      </c>
      <c r="AR141" s="4">
        <f ca="1">IFERROR(INDIRECT(ADDRESS(141,14)) / INDIRECT(ADDRESS(159,14)),0)</f>
        <v>2.9244763950160086E-2</v>
      </c>
      <c r="AS141" s="4">
        <f ca="1">IFERROR((INDIRECT(ADDRESS(141,14)) - INDIRECT(ADDRESS(141,3)))/ INDIRECT(ADDRESS(141,3)),1)</f>
        <v>-5.7298720576868241E-8</v>
      </c>
      <c r="AT141" s="3">
        <f ca="1">INDIRECT(ADDRESS(141,19))</f>
        <v>52357186</v>
      </c>
      <c r="AU141" s="4">
        <f ca="1">IFERROR(INDIRECT(ADDRESS(141,19)) / INDIRECT(ADDRESS(159,19)),0)</f>
        <v>3.1879414403869821E-2</v>
      </c>
      <c r="AV141" s="4">
        <f ca="1">IFERROR((INDIRECT(ADDRESS(141,19)) - INDIRECT(ADDRESS(141,3)))/ INDIRECT(ADDRESS(141,3)),1)</f>
        <v>-7.6398294102490988E-8</v>
      </c>
      <c r="AW141" s="3">
        <f ca="1">INDIRECT(ADDRESS(141,24))</f>
        <v>52357182</v>
      </c>
      <c r="AX141" s="4">
        <f ca="1">IFERROR(INDIRECT(ADDRESS(141,24)) / INDIRECT(ADDRESS(159,24)),0)</f>
        <v>3.491124265803093E-2</v>
      </c>
      <c r="AY141" s="4">
        <f ca="1">IFERROR((INDIRECT(ADDRESS(141,24)) - INDIRECT(ADDRESS(141,3)))/ INDIRECT(ADDRESS(141,3)),1)</f>
        <v>-1.5279658820498198E-7</v>
      </c>
      <c r="AZ141" s="3">
        <f ca="1">INDIRECT(ADDRESS(141,29))</f>
        <v>52357187</v>
      </c>
      <c r="BA141" s="4">
        <f ca="1">IFERROR(INDIRECT(ADDRESS(141,29)) / INDIRECT(ADDRESS(159,29)),0)</f>
        <v>3.6424152735253595E-2</v>
      </c>
      <c r="BB141" s="4">
        <f ca="1">IFERROR((INDIRECT(ADDRESS(141,29)) - INDIRECT(ADDRESS(141,3)))/ INDIRECT(ADDRESS(141,3)),1)</f>
        <v>-5.7298720576868241E-8</v>
      </c>
      <c r="BC141" s="3">
        <f ca="1">INDIRECT(ADDRESS(141,34))</f>
        <v>52357184</v>
      </c>
      <c r="BD141" s="4">
        <f ca="1">IFERROR(INDIRECT(ADDRESS(141,34)) / INDIRECT(ADDRESS(159,34)),0)</f>
        <v>3.7018845422864301E-2</v>
      </c>
      <c r="BE141" s="4">
        <f ca="1">IFERROR((INDIRECT(ADDRESS(141,34)) - INDIRECT(ADDRESS(141,3)))/ INDIRECT(ADDRESS(141,3)),1)</f>
        <v>-1.1459744115373648E-7</v>
      </c>
    </row>
    <row r="142" spans="1:57" x14ac:dyDescent="0.25">
      <c r="A142" s="5"/>
      <c r="B142" s="1" t="s">
        <v>40</v>
      </c>
      <c r="C142">
        <v>67364420</v>
      </c>
      <c r="D142">
        <v>66743197</v>
      </c>
      <c r="E142">
        <v>66743024</v>
      </c>
      <c r="F142">
        <v>66742851</v>
      </c>
      <c r="G142">
        <v>66595996</v>
      </c>
      <c r="H142">
        <v>66447258</v>
      </c>
      <c r="I142">
        <v>4594046</v>
      </c>
      <c r="J142">
        <v>4481663</v>
      </c>
      <c r="K142">
        <v>4372542</v>
      </c>
      <c r="L142">
        <v>4266541</v>
      </c>
      <c r="M142">
        <v>4163527</v>
      </c>
      <c r="N142">
        <v>4041049</v>
      </c>
      <c r="O142">
        <v>3877955</v>
      </c>
      <c r="P142">
        <v>3719209</v>
      </c>
      <c r="Q142">
        <v>3564632</v>
      </c>
      <c r="R142">
        <v>3414058</v>
      </c>
      <c r="S142">
        <v>3267327</v>
      </c>
      <c r="T142">
        <v>3175358</v>
      </c>
      <c r="U142">
        <v>3085660</v>
      </c>
      <c r="V142">
        <v>2998148</v>
      </c>
      <c r="W142">
        <v>2912738</v>
      </c>
      <c r="X142">
        <v>2829354</v>
      </c>
      <c r="Y142">
        <v>2747344</v>
      </c>
      <c r="Z142">
        <v>2667280</v>
      </c>
      <c r="AA142">
        <v>2589094</v>
      </c>
      <c r="AB142">
        <v>2512718</v>
      </c>
      <c r="AC142">
        <v>2421880</v>
      </c>
      <c r="AD142">
        <v>2348633</v>
      </c>
      <c r="AE142">
        <v>2277057.6</v>
      </c>
      <c r="AF142">
        <v>2207099.1</v>
      </c>
      <c r="AG142">
        <v>2138702.7000000002</v>
      </c>
      <c r="AH142">
        <v>2071817.1</v>
      </c>
      <c r="AK142" s="3" t="str">
        <f ca="1">INDIRECT(ADDRESS(142,2))</f>
        <v>Coal</v>
      </c>
      <c r="AL142" s="3">
        <f ca="1">INDIRECT(ADDRESS(142,3))</f>
        <v>67364420</v>
      </c>
      <c r="AM142" s="4">
        <f ca="1">IFERROR(INDIRECT(ADDRESS(142,3)) / INDIRECT(ADDRESS(159,3)),0)</f>
        <v>3.0746741388516657E-2</v>
      </c>
      <c r="AN142" s="3">
        <f ca="1">INDIRECT(ADDRESS(142,9))</f>
        <v>4594046</v>
      </c>
      <c r="AO142" s="4">
        <f ca="1">IFERROR(INDIRECT(ADDRESS(142,9)) / INDIRECT(ADDRESS(159,9)),0)</f>
        <v>2.2444152978950112E-3</v>
      </c>
      <c r="AP142" s="4">
        <f ca="1">IFERROR((INDIRECT(ADDRESS(142,9)) - INDIRECT(ADDRESS(142,3)))/ INDIRECT(ADDRESS(142,3)),1)</f>
        <v>-0.93180307942976426</v>
      </c>
      <c r="AQ142" s="3">
        <f ca="1">INDIRECT(ADDRESS(142,14))</f>
        <v>4041049</v>
      </c>
      <c r="AR142" s="4">
        <f ca="1">IFERROR(INDIRECT(ADDRESS(142,14)) / INDIRECT(ADDRESS(159,14)),0)</f>
        <v>2.2571786394106788E-3</v>
      </c>
      <c r="AS142" s="4">
        <f ca="1">IFERROR((INDIRECT(ADDRESS(142,14)) - INDIRECT(ADDRESS(142,3)))/ INDIRECT(ADDRESS(142,3)),1)</f>
        <v>-0.94001211618833802</v>
      </c>
      <c r="AT142" s="3">
        <f ca="1">INDIRECT(ADDRESS(142,19))</f>
        <v>3267327</v>
      </c>
      <c r="AU142" s="4">
        <f ca="1">IFERROR(INDIRECT(ADDRESS(142,19)) / INDIRECT(ADDRESS(159,19)),0)</f>
        <v>1.9894207344518626E-3</v>
      </c>
      <c r="AV142" s="4">
        <f ca="1">IFERROR((INDIRECT(ADDRESS(142,19)) - INDIRECT(ADDRESS(142,3)))/ INDIRECT(ADDRESS(142,3)),1)</f>
        <v>-0.95149773426387396</v>
      </c>
      <c r="AW142" s="3">
        <f ca="1">INDIRECT(ADDRESS(142,24))</f>
        <v>2829354</v>
      </c>
      <c r="AX142" s="4">
        <f ca="1">IFERROR(INDIRECT(ADDRESS(142,24)) / INDIRECT(ADDRESS(159,24)),0)</f>
        <v>1.886584806253905E-3</v>
      </c>
      <c r="AY142" s="4">
        <f ca="1">IFERROR((INDIRECT(ADDRESS(142,24)) - INDIRECT(ADDRESS(142,3)))/ INDIRECT(ADDRESS(142,3)),1)</f>
        <v>-0.95799928211361429</v>
      </c>
      <c r="AZ142" s="3">
        <f ca="1">INDIRECT(ADDRESS(142,29))</f>
        <v>2421880</v>
      </c>
      <c r="BA142" s="4">
        <f ca="1">IFERROR(INDIRECT(ADDRESS(142,29)) / INDIRECT(ADDRESS(159,29)),0)</f>
        <v>1.6848675813399979E-3</v>
      </c>
      <c r="BB142" s="4">
        <f ca="1">IFERROR((INDIRECT(ADDRESS(142,29)) - INDIRECT(ADDRESS(142,3)))/ INDIRECT(ADDRESS(142,3)),1)</f>
        <v>-0.9640480835432117</v>
      </c>
      <c r="BC142" s="3">
        <f ca="1">INDIRECT(ADDRESS(142,34))</f>
        <v>2071817.1</v>
      </c>
      <c r="BD142" s="4">
        <f ca="1">IFERROR(INDIRECT(ADDRESS(142,34)) / INDIRECT(ADDRESS(159,34)),0)</f>
        <v>1.4648663489875045E-3</v>
      </c>
      <c r="BE142" s="4">
        <f ca="1">IFERROR((INDIRECT(ADDRESS(142,34)) - INDIRECT(ADDRESS(142,3)))/ INDIRECT(ADDRESS(142,3)),1)</f>
        <v>-0.96924463834172403</v>
      </c>
    </row>
    <row r="143" spans="1:57" x14ac:dyDescent="0.25">
      <c r="A143" s="5"/>
      <c r="B143" s="1" t="s">
        <v>41</v>
      </c>
      <c r="C143">
        <v>216163500</v>
      </c>
      <c r="D143">
        <v>207066200</v>
      </c>
      <c r="E143">
        <v>197572400</v>
      </c>
      <c r="F143">
        <v>187851000</v>
      </c>
      <c r="G143">
        <v>178327300</v>
      </c>
      <c r="H143">
        <v>167075100</v>
      </c>
      <c r="I143">
        <v>156690800</v>
      </c>
      <c r="J143">
        <v>145680900</v>
      </c>
      <c r="K143">
        <v>135206700</v>
      </c>
      <c r="L143">
        <v>125008800</v>
      </c>
      <c r="M143">
        <v>115094200</v>
      </c>
      <c r="N143">
        <v>105629400</v>
      </c>
      <c r="O143">
        <v>96538940</v>
      </c>
      <c r="P143">
        <v>87864320</v>
      </c>
      <c r="Q143">
        <v>79431420</v>
      </c>
      <c r="R143">
        <v>71072400</v>
      </c>
      <c r="S143">
        <v>63188660</v>
      </c>
      <c r="T143">
        <v>58856150</v>
      </c>
      <c r="U143">
        <v>54599440</v>
      </c>
      <c r="V143">
        <v>50467150</v>
      </c>
      <c r="W143">
        <v>47151590</v>
      </c>
      <c r="X143">
        <v>43924840</v>
      </c>
      <c r="Y143">
        <v>42561830</v>
      </c>
      <c r="Z143">
        <v>41260250</v>
      </c>
      <c r="AA143">
        <v>40035240</v>
      </c>
      <c r="AB143">
        <v>38889810</v>
      </c>
      <c r="AC143">
        <v>37818410</v>
      </c>
      <c r="AD143">
        <v>36815590</v>
      </c>
      <c r="AE143">
        <v>35873330</v>
      </c>
      <c r="AF143">
        <v>34983240</v>
      </c>
      <c r="AG143">
        <v>34135170</v>
      </c>
      <c r="AH143">
        <v>33317610</v>
      </c>
      <c r="AK143" s="3" t="str">
        <f ca="1">INDIRECT(ADDRESS(143,2))</f>
        <v>Diesel</v>
      </c>
      <c r="AL143" s="3">
        <f ca="1">INDIRECT(ADDRESS(143,3))</f>
        <v>216163500</v>
      </c>
      <c r="AM143" s="4">
        <f ca="1">IFERROR(INDIRECT(ADDRESS(143,3)) / INDIRECT(ADDRESS(159,3)),0)</f>
        <v>9.866222008794287E-2</v>
      </c>
      <c r="AN143" s="3">
        <f ca="1">INDIRECT(ADDRESS(143,9))</f>
        <v>156690800</v>
      </c>
      <c r="AO143" s="4">
        <f ca="1">IFERROR(INDIRECT(ADDRESS(143,9)) / INDIRECT(ADDRESS(159,9)),0)</f>
        <v>7.6551089945422326E-2</v>
      </c>
      <c r="AP143" s="4">
        <f ca="1">IFERROR((INDIRECT(ADDRESS(143,9)) - INDIRECT(ADDRESS(143,3)))/ INDIRECT(ADDRESS(143,3)),1)</f>
        <v>-0.27512831722284292</v>
      </c>
      <c r="AQ143" s="3">
        <f ca="1">INDIRECT(ADDRESS(143,14))</f>
        <v>105629400</v>
      </c>
      <c r="AR143" s="4">
        <f ca="1">IFERROR(INDIRECT(ADDRESS(143,14)) / INDIRECT(ADDRESS(159,14)),0)</f>
        <v>5.9000627157395603E-2</v>
      </c>
      <c r="AS143" s="4">
        <f ca="1">IFERROR((INDIRECT(ADDRESS(143,14)) - INDIRECT(ADDRESS(143,3)))/ INDIRECT(ADDRESS(143,3)),1)</f>
        <v>-0.51134488477471918</v>
      </c>
      <c r="AT143" s="3">
        <f ca="1">INDIRECT(ADDRESS(143,19))</f>
        <v>63188660</v>
      </c>
      <c r="AU143" s="4">
        <f ca="1">IFERROR(INDIRECT(ADDRESS(143,19)) / INDIRECT(ADDRESS(159,19)),0)</f>
        <v>3.8474517667264105E-2</v>
      </c>
      <c r="AV143" s="4">
        <f ca="1">IFERROR((INDIRECT(ADDRESS(143,19)) - INDIRECT(ADDRESS(143,3)))/ INDIRECT(ADDRESS(143,3)),1)</f>
        <v>-0.70768117651684948</v>
      </c>
      <c r="AW143" s="3">
        <f ca="1">INDIRECT(ADDRESS(143,24))</f>
        <v>43924840</v>
      </c>
      <c r="AX143" s="4">
        <f ca="1">IFERROR(INDIRECT(ADDRESS(143,24)) / INDIRECT(ADDRESS(159,24)),0)</f>
        <v>2.9288641775166265E-2</v>
      </c>
      <c r="AY143" s="4">
        <f ca="1">IFERROR((INDIRECT(ADDRESS(143,24)) - INDIRECT(ADDRESS(143,3)))/ INDIRECT(ADDRESS(143,3)),1)</f>
        <v>-0.79679807182988804</v>
      </c>
      <c r="AZ143" s="3">
        <f ca="1">INDIRECT(ADDRESS(143,29))</f>
        <v>37818410</v>
      </c>
      <c r="BA143" s="4">
        <f ca="1">IFERROR(INDIRECT(ADDRESS(143,29)) / INDIRECT(ADDRESS(159,29)),0)</f>
        <v>2.6309731690597547E-2</v>
      </c>
      <c r="BB143" s="4">
        <f ca="1">IFERROR((INDIRECT(ADDRESS(143,29)) - INDIRECT(ADDRESS(143,3)))/ INDIRECT(ADDRESS(143,3)),1)</f>
        <v>-0.82504719806997939</v>
      </c>
      <c r="BC143" s="3">
        <f ca="1">INDIRECT(ADDRESS(143,34))</f>
        <v>33317610</v>
      </c>
      <c r="BD143" s="4">
        <f ca="1">IFERROR(INDIRECT(ADDRESS(143,34)) / INDIRECT(ADDRESS(159,34)),0)</f>
        <v>2.3557024274821155E-2</v>
      </c>
      <c r="BE143" s="4">
        <f ca="1">IFERROR((INDIRECT(ADDRESS(143,34)) - INDIRECT(ADDRESS(143,3)))/ INDIRECT(ADDRESS(143,3)),1)</f>
        <v>-0.84586847455745307</v>
      </c>
    </row>
    <row r="144" spans="1:57" x14ac:dyDescent="0.25">
      <c r="A144" s="5"/>
      <c r="B144" s="1" t="s">
        <v>42</v>
      </c>
      <c r="C144">
        <v>93733824.84300001</v>
      </c>
      <c r="D144">
        <v>93716900.111000001</v>
      </c>
      <c r="E144">
        <v>93652984.126000002</v>
      </c>
      <c r="F144">
        <v>93588969.893000007</v>
      </c>
      <c r="G144">
        <v>91922154.758000001</v>
      </c>
      <c r="H144">
        <v>90218324.085999995</v>
      </c>
      <c r="I144">
        <v>87369089.796000004</v>
      </c>
      <c r="J144">
        <v>84539190.826000005</v>
      </c>
      <c r="K144">
        <v>81758575.214999989</v>
      </c>
      <c r="L144">
        <v>79014217.732999995</v>
      </c>
      <c r="M144">
        <v>76293341.016000003</v>
      </c>
      <c r="N144">
        <v>73449181.415999994</v>
      </c>
      <c r="O144">
        <v>69212781.104499996</v>
      </c>
      <c r="P144">
        <v>65072216.452200003</v>
      </c>
      <c r="Q144">
        <v>61047498.665200002</v>
      </c>
      <c r="R144">
        <v>57148806.67165</v>
      </c>
      <c r="S144">
        <v>53379508.841629997</v>
      </c>
      <c r="T144">
        <v>50967520.883610003</v>
      </c>
      <c r="U144">
        <v>48648775.030929998</v>
      </c>
      <c r="V144">
        <v>46418466.613370001</v>
      </c>
      <c r="W144">
        <v>44269960.194049999</v>
      </c>
      <c r="X144">
        <v>42193859.027170002</v>
      </c>
      <c r="Y144">
        <v>40152247.562299997</v>
      </c>
      <c r="Z144">
        <v>38173467.593869999</v>
      </c>
      <c r="AA144">
        <v>36252619.011880003</v>
      </c>
      <c r="AB144">
        <v>34384997.721500002</v>
      </c>
      <c r="AC144">
        <v>32506859.469609998</v>
      </c>
      <c r="AD144">
        <v>30711249.056770001</v>
      </c>
      <c r="AE144">
        <v>28957857.770640001</v>
      </c>
      <c r="AF144">
        <v>27243750.939160001</v>
      </c>
      <c r="AG144">
        <v>25566855.194699999</v>
      </c>
      <c r="AH144">
        <v>23925696.14683</v>
      </c>
      <c r="AK144" s="3" t="str">
        <f ca="1">INDIRECT(ADDRESS(144,2))</f>
        <v>Fuel Oil</v>
      </c>
      <c r="AL144" s="3">
        <f ca="1">INDIRECT(ADDRESS(144,3))</f>
        <v>93733824.84300001</v>
      </c>
      <c r="AM144" s="4">
        <f ca="1">IFERROR(INDIRECT(ADDRESS(144,3)) / INDIRECT(ADDRESS(159,3)),0)</f>
        <v>4.2782371937652539E-2</v>
      </c>
      <c r="AN144" s="3">
        <f ca="1">INDIRECT(ADDRESS(144,9))</f>
        <v>87369089.796000004</v>
      </c>
      <c r="AO144" s="4">
        <f ca="1">IFERROR(INDIRECT(ADDRESS(144,9)) / INDIRECT(ADDRESS(159,9)),0)</f>
        <v>4.2684057081993812E-2</v>
      </c>
      <c r="AP144" s="4">
        <f ca="1">IFERROR((INDIRECT(ADDRESS(144,9)) - INDIRECT(ADDRESS(144,3)))/ INDIRECT(ADDRESS(144,3)),1)</f>
        <v>-6.7902222678533117E-2</v>
      </c>
      <c r="AQ144" s="3">
        <f ca="1">INDIRECT(ADDRESS(144,14))</f>
        <v>73449181.415999994</v>
      </c>
      <c r="AR144" s="4">
        <f ca="1">IFERROR(INDIRECT(ADDRESS(144,14)) / INDIRECT(ADDRESS(159,14)),0)</f>
        <v>4.1025962163387518E-2</v>
      </c>
      <c r="AS144" s="4">
        <f ca="1">IFERROR((INDIRECT(ADDRESS(144,14)) - INDIRECT(ADDRESS(144,3)))/ INDIRECT(ADDRESS(144,3)),1)</f>
        <v>-0.21640686764864117</v>
      </c>
      <c r="AT144" s="3">
        <f ca="1">INDIRECT(ADDRESS(144,19))</f>
        <v>53379508.841629997</v>
      </c>
      <c r="AU144" s="4">
        <f ca="1">IFERROR(INDIRECT(ADDRESS(144,19)) / INDIRECT(ADDRESS(159,19)),0)</f>
        <v>3.2501889674463325E-2</v>
      </c>
      <c r="AV144" s="4">
        <f ca="1">IFERROR((INDIRECT(ADDRESS(144,19)) - INDIRECT(ADDRESS(144,3)))/ INDIRECT(ADDRESS(144,3)),1)</f>
        <v>-0.4305203171743146</v>
      </c>
      <c r="AW144" s="3">
        <f ca="1">INDIRECT(ADDRESS(144,24))</f>
        <v>42193859.027170002</v>
      </c>
      <c r="AX144" s="4">
        <f ca="1">IFERROR(INDIRECT(ADDRESS(144,24)) / INDIRECT(ADDRESS(159,24)),0)</f>
        <v>2.8134441062475073E-2</v>
      </c>
      <c r="AY144" s="4">
        <f ca="1">IFERROR((INDIRECT(ADDRESS(144,24)) - INDIRECT(ADDRESS(144,3)))/ INDIRECT(ADDRESS(144,3)),1)</f>
        <v>-0.54985450452018958</v>
      </c>
      <c r="AZ144" s="3">
        <f ca="1">INDIRECT(ADDRESS(144,29))</f>
        <v>32506859.469609998</v>
      </c>
      <c r="BA144" s="4">
        <f ca="1">IFERROR(INDIRECT(ADDRESS(144,29)) / INDIRECT(ADDRESS(159,29)),0)</f>
        <v>2.2614561287727306E-2</v>
      </c>
      <c r="BB144" s="4">
        <f ca="1">IFERROR((INDIRECT(ADDRESS(144,29)) - INDIRECT(ADDRESS(144,3)))/ INDIRECT(ADDRESS(144,3)),1)</f>
        <v>-0.65320033057375448</v>
      </c>
      <c r="BC144" s="3">
        <f ca="1">INDIRECT(ADDRESS(144,34))</f>
        <v>23925696.14683</v>
      </c>
      <c r="BD144" s="4">
        <f ca="1">IFERROR(INDIRECT(ADDRESS(144,34)) / INDIRECT(ADDRESS(159,34)),0)</f>
        <v>1.6916525672845961E-2</v>
      </c>
      <c r="BE144" s="4">
        <f ca="1">IFERROR((INDIRECT(ADDRESS(144,34)) - INDIRECT(ADDRESS(144,3)))/ INDIRECT(ADDRESS(144,3)),1)</f>
        <v>-0.74474853462019197</v>
      </c>
    </row>
    <row r="145" spans="1:57" x14ac:dyDescent="0.25">
      <c r="A145" s="5"/>
      <c r="B145" s="1" t="s">
        <v>43</v>
      </c>
      <c r="C145">
        <v>344926100</v>
      </c>
      <c r="D145">
        <v>344177300</v>
      </c>
      <c r="E145">
        <v>329323000</v>
      </c>
      <c r="F145">
        <v>312288500</v>
      </c>
      <c r="G145">
        <v>296353600</v>
      </c>
      <c r="H145">
        <v>276729600</v>
      </c>
      <c r="I145">
        <v>246714800</v>
      </c>
      <c r="J145">
        <v>225111800</v>
      </c>
      <c r="K145">
        <v>202024400</v>
      </c>
      <c r="L145">
        <v>178511700</v>
      </c>
      <c r="M145">
        <v>156075300</v>
      </c>
      <c r="N145">
        <v>136612500</v>
      </c>
      <c r="O145">
        <v>120095500</v>
      </c>
      <c r="P145">
        <v>105835400</v>
      </c>
      <c r="Q145">
        <v>92930430</v>
      </c>
      <c r="R145">
        <v>78802110</v>
      </c>
      <c r="S145">
        <v>66993620</v>
      </c>
      <c r="T145">
        <v>58494170</v>
      </c>
      <c r="U145">
        <v>50048760</v>
      </c>
      <c r="V145">
        <v>42094830</v>
      </c>
      <c r="W145">
        <v>35416690</v>
      </c>
      <c r="X145">
        <v>29467150</v>
      </c>
      <c r="Y145">
        <v>24157510</v>
      </c>
      <c r="Z145">
        <v>19328200</v>
      </c>
      <c r="AA145">
        <v>15116050</v>
      </c>
      <c r="AB145">
        <v>11550030</v>
      </c>
      <c r="AC145">
        <v>8584650</v>
      </c>
      <c r="AD145">
        <v>6165961</v>
      </c>
      <c r="AE145">
        <v>4237493</v>
      </c>
      <c r="AF145">
        <v>2724187</v>
      </c>
      <c r="AG145">
        <v>1535964</v>
      </c>
      <c r="AH145">
        <v>571681.4</v>
      </c>
      <c r="AK145" s="3" t="str">
        <f ca="1">INDIRECT(ADDRESS(145,2))</f>
        <v>Gasoline</v>
      </c>
      <c r="AL145" s="3">
        <f ca="1">INDIRECT(ADDRESS(145,3))</f>
        <v>344926100</v>
      </c>
      <c r="AM145" s="4">
        <f ca="1">IFERROR(INDIRECT(ADDRESS(145,3)) / INDIRECT(ADDRESS(159,3)),0)</f>
        <v>0.15743256744212503</v>
      </c>
      <c r="AN145" s="3">
        <f ca="1">INDIRECT(ADDRESS(145,9))</f>
        <v>246714800</v>
      </c>
      <c r="AO145" s="4">
        <f ca="1">IFERROR(INDIRECT(ADDRESS(145,9)) / INDIRECT(ADDRESS(159,9)),0)</f>
        <v>0.12053220001216969</v>
      </c>
      <c r="AP145" s="4">
        <f ca="1">IFERROR((INDIRECT(ADDRESS(145,9)) - INDIRECT(ADDRESS(145,3)))/ INDIRECT(ADDRESS(145,3)),1)</f>
        <v>-0.28473142507916915</v>
      </c>
      <c r="AQ145" s="3">
        <f ca="1">INDIRECT(ADDRESS(145,14))</f>
        <v>136612500</v>
      </c>
      <c r="AR145" s="4">
        <f ca="1">IFERROR(INDIRECT(ADDRESS(145,14)) / INDIRECT(ADDRESS(159,14)),0)</f>
        <v>7.6306626540903449E-2</v>
      </c>
      <c r="AS145" s="4">
        <f ca="1">IFERROR((INDIRECT(ADDRESS(145,14)) - INDIRECT(ADDRESS(145,3)))/ INDIRECT(ADDRESS(145,3)),1)</f>
        <v>-0.6039369012666771</v>
      </c>
      <c r="AT145" s="3">
        <f ca="1">INDIRECT(ADDRESS(145,19))</f>
        <v>66993620</v>
      </c>
      <c r="AU145" s="4">
        <f ca="1">IFERROR(INDIRECT(ADDRESS(145,19)) / INDIRECT(ADDRESS(159,19)),0)</f>
        <v>4.0791294138599832E-2</v>
      </c>
      <c r="AV145" s="4">
        <f ca="1">IFERROR((INDIRECT(ADDRESS(145,19)) - INDIRECT(ADDRESS(145,3)))/ INDIRECT(ADDRESS(145,3)),1)</f>
        <v>-0.80577399042867448</v>
      </c>
      <c r="AW145" s="3">
        <f ca="1">INDIRECT(ADDRESS(145,24))</f>
        <v>29467150</v>
      </c>
      <c r="AX145" s="4">
        <f ca="1">IFERROR(INDIRECT(ADDRESS(145,24)) / INDIRECT(ADDRESS(159,24)),0)</f>
        <v>1.9648399413295315E-2</v>
      </c>
      <c r="AY145" s="4">
        <f ca="1">IFERROR((INDIRECT(ADDRESS(145,24)) - INDIRECT(ADDRESS(145,3)))/ INDIRECT(ADDRESS(145,3)),1)</f>
        <v>-0.91456967159052327</v>
      </c>
      <c r="AZ145" s="3">
        <f ca="1">INDIRECT(ADDRESS(145,29))</f>
        <v>8584650</v>
      </c>
      <c r="BA145" s="4">
        <f ca="1">IFERROR(INDIRECT(ADDRESS(145,29)) / INDIRECT(ADDRESS(159,29)),0)</f>
        <v>5.9722193015964509E-3</v>
      </c>
      <c r="BB145" s="4">
        <f ca="1">IFERROR((INDIRECT(ADDRESS(145,29)) - INDIRECT(ADDRESS(145,3)))/ INDIRECT(ADDRESS(145,3)),1)</f>
        <v>-0.97511162535975093</v>
      </c>
      <c r="BC145" s="3">
        <f ca="1">INDIRECT(ADDRESS(145,34))</f>
        <v>571681.4</v>
      </c>
      <c r="BD145" s="4">
        <f ca="1">IFERROR(INDIRECT(ADDRESS(145,34)) / INDIRECT(ADDRESS(159,34)),0)</f>
        <v>4.042040415643182E-4</v>
      </c>
      <c r="BE145" s="4">
        <f ca="1">IFERROR((INDIRECT(ADDRESS(145,34)) - INDIRECT(ADDRESS(145,3)))/ INDIRECT(ADDRESS(145,3)),1)</f>
        <v>-0.99834259744333653</v>
      </c>
    </row>
    <row r="146" spans="1:57" x14ac:dyDescent="0.25">
      <c r="A146" s="5"/>
      <c r="B146" s="1" t="s">
        <v>101</v>
      </c>
      <c r="C146">
        <v>18826570</v>
      </c>
      <c r="D146">
        <v>18861950</v>
      </c>
      <c r="E146">
        <v>19440780</v>
      </c>
      <c r="F146">
        <v>20760890</v>
      </c>
      <c r="G146">
        <v>22477050</v>
      </c>
      <c r="H146">
        <v>24904710</v>
      </c>
      <c r="I146">
        <v>27643050</v>
      </c>
      <c r="J146">
        <v>30541350</v>
      </c>
      <c r="K146">
        <v>33635860</v>
      </c>
      <c r="L146">
        <v>37173040</v>
      </c>
      <c r="M146">
        <v>41398390</v>
      </c>
      <c r="N146">
        <v>46083170</v>
      </c>
      <c r="O146">
        <v>51120480</v>
      </c>
      <c r="P146">
        <v>55886980</v>
      </c>
      <c r="Q146">
        <v>59829690</v>
      </c>
      <c r="R146">
        <v>62621370</v>
      </c>
      <c r="S146">
        <v>64094700</v>
      </c>
      <c r="T146">
        <v>64175810</v>
      </c>
      <c r="U146">
        <v>63014770</v>
      </c>
      <c r="V146">
        <v>60772710</v>
      </c>
      <c r="W146">
        <v>57891370</v>
      </c>
      <c r="X146">
        <v>54442160</v>
      </c>
      <c r="Y146">
        <v>54086110</v>
      </c>
      <c r="Z146">
        <v>54188870</v>
      </c>
      <c r="AA146">
        <v>54122270</v>
      </c>
      <c r="AB146">
        <v>53923830</v>
      </c>
      <c r="AC146">
        <v>53614730</v>
      </c>
      <c r="AD146">
        <v>53192680</v>
      </c>
      <c r="AE146">
        <v>52721840</v>
      </c>
      <c r="AF146">
        <v>52210740</v>
      </c>
      <c r="AG146">
        <v>51746320</v>
      </c>
      <c r="AH146">
        <v>51280850</v>
      </c>
      <c r="AK146" s="3" t="str">
        <f ca="1">INDIRECT(ADDRESS(146,2))</f>
        <v>Geothermal</v>
      </c>
      <c r="AL146" s="3">
        <f ca="1">INDIRECT(ADDRESS(146,3))</f>
        <v>18826570</v>
      </c>
      <c r="AM146" s="4">
        <f ca="1">IFERROR(INDIRECT(ADDRESS(146,3)) / INDIRECT(ADDRESS(159,3)),0)</f>
        <v>8.5928993231561418E-3</v>
      </c>
      <c r="AN146" s="3">
        <f ca="1">INDIRECT(ADDRESS(146,9))</f>
        <v>27643050</v>
      </c>
      <c r="AO146" s="4">
        <f ca="1">IFERROR(INDIRECT(ADDRESS(146,9)) / INDIRECT(ADDRESS(159,9)),0)</f>
        <v>1.3504976724324635E-2</v>
      </c>
      <c r="AP146" s="4">
        <f ca="1">IFERROR((INDIRECT(ADDRESS(146,9)) - INDIRECT(ADDRESS(146,3)))/ INDIRECT(ADDRESS(146,3)),1)</f>
        <v>0.4682998549390569</v>
      </c>
      <c r="AQ146" s="3">
        <f ca="1">INDIRECT(ADDRESS(146,14))</f>
        <v>46083170</v>
      </c>
      <c r="AR146" s="4">
        <f ca="1">IFERROR(INDIRECT(ADDRESS(146,14)) / INDIRECT(ADDRESS(159,14)),0)</f>
        <v>2.574033300767474E-2</v>
      </c>
      <c r="AS146" s="4">
        <f ca="1">IFERROR((INDIRECT(ADDRESS(146,14)) - INDIRECT(ADDRESS(146,3)))/ INDIRECT(ADDRESS(146,3)),1)</f>
        <v>1.4477730144152652</v>
      </c>
      <c r="AT146" s="3">
        <f ca="1">INDIRECT(ADDRESS(146,19))</f>
        <v>64094700</v>
      </c>
      <c r="AU146" s="4">
        <f ca="1">IFERROR(INDIRECT(ADDRESS(146,19)) / INDIRECT(ADDRESS(159,19)),0)</f>
        <v>3.9026190261480347E-2</v>
      </c>
      <c r="AV146" s="4">
        <f ca="1">IFERROR((INDIRECT(ADDRESS(146,19)) - INDIRECT(ADDRESS(146,3)))/ INDIRECT(ADDRESS(146,3)),1)</f>
        <v>2.4044810074272691</v>
      </c>
      <c r="AW146" s="3">
        <f ca="1">INDIRECT(ADDRESS(146,24))</f>
        <v>54442160</v>
      </c>
      <c r="AX146" s="4">
        <f ca="1">IFERROR(INDIRECT(ADDRESS(146,24)) / INDIRECT(ADDRESS(159,24)),0)</f>
        <v>3.6301485030025969E-2</v>
      </c>
      <c r="AY146" s="4">
        <f ca="1">IFERROR((INDIRECT(ADDRESS(146,24)) - INDIRECT(ADDRESS(146,3)))/ INDIRECT(ADDRESS(146,3)),1)</f>
        <v>1.8917726383510114</v>
      </c>
      <c r="AZ146" s="3">
        <f ca="1">INDIRECT(ADDRESS(146,29))</f>
        <v>53614730</v>
      </c>
      <c r="BA146" s="4">
        <f ca="1">IFERROR(INDIRECT(ADDRESS(146,29)) / INDIRECT(ADDRESS(159,29)),0)</f>
        <v>3.7299007572339268E-2</v>
      </c>
      <c r="BB146" s="4">
        <f ca="1">IFERROR((INDIRECT(ADDRESS(146,29)) - INDIRECT(ADDRESS(146,3)))/ INDIRECT(ADDRESS(146,3)),1)</f>
        <v>1.8478225189187409</v>
      </c>
      <c r="BC146" s="3">
        <f ca="1">INDIRECT(ADDRESS(146,34))</f>
        <v>51280850</v>
      </c>
      <c r="BD146" s="4">
        <f ca="1">IFERROR(INDIRECT(ADDRESS(146,34)) / INDIRECT(ADDRESS(159,34)),0)</f>
        <v>3.6257829666757682E-2</v>
      </c>
      <c r="BE146" s="4">
        <f ca="1">IFERROR((INDIRECT(ADDRESS(146,34)) - INDIRECT(ADDRESS(146,3)))/ INDIRECT(ADDRESS(146,3)),1)</f>
        <v>1.72385516851981</v>
      </c>
    </row>
    <row r="147" spans="1:57" x14ac:dyDescent="0.25">
      <c r="A147" s="5"/>
      <c r="B147" s="1" t="s">
        <v>44</v>
      </c>
      <c r="C147">
        <v>321326760.80000001</v>
      </c>
      <c r="D147">
        <v>322066060.69999999</v>
      </c>
      <c r="E147">
        <v>324006773</v>
      </c>
      <c r="F147">
        <v>332080348.5</v>
      </c>
      <c r="G147">
        <v>333765780.30000001</v>
      </c>
      <c r="H147">
        <v>335873387.89999998</v>
      </c>
      <c r="I147">
        <v>337353820.5</v>
      </c>
      <c r="J147">
        <v>337045623</v>
      </c>
      <c r="K147">
        <v>336894138.60000002</v>
      </c>
      <c r="L147">
        <v>336854755.60000002</v>
      </c>
      <c r="M147">
        <v>337408913.10000002</v>
      </c>
      <c r="N147">
        <v>337956895.69999999</v>
      </c>
      <c r="O147">
        <v>338960310</v>
      </c>
      <c r="P147">
        <v>338927364.10000002</v>
      </c>
      <c r="Q147">
        <v>337959354.80000001</v>
      </c>
      <c r="R147">
        <v>336051303.89999998</v>
      </c>
      <c r="S147">
        <v>334548605.80000001</v>
      </c>
      <c r="T147">
        <v>332029137.60000002</v>
      </c>
      <c r="U147">
        <v>328993112.80000001</v>
      </c>
      <c r="V147">
        <v>325133013.60000002</v>
      </c>
      <c r="W147">
        <v>320117901.30000001</v>
      </c>
      <c r="X147">
        <v>314874989.19999999</v>
      </c>
      <c r="Y147">
        <v>317032368.69999999</v>
      </c>
      <c r="Z147">
        <v>319588383.39999998</v>
      </c>
      <c r="AA147">
        <v>322012276.80000001</v>
      </c>
      <c r="AB147">
        <v>324083247.19999999</v>
      </c>
      <c r="AC147">
        <v>326742154.60000002</v>
      </c>
      <c r="AD147">
        <v>328666856.89999998</v>
      </c>
      <c r="AE147">
        <v>330379149.19999999</v>
      </c>
      <c r="AF147">
        <v>331918225.10000002</v>
      </c>
      <c r="AG147">
        <v>332969005.89999998</v>
      </c>
      <c r="AH147">
        <v>334726814.89999998</v>
      </c>
      <c r="AK147" s="3" t="str">
        <f ca="1">INDIRECT(ADDRESS(147,2))</f>
        <v>Grid Electricity</v>
      </c>
      <c r="AL147" s="3">
        <f ca="1">INDIRECT(ADDRESS(147,3))</f>
        <v>321326760.80000001</v>
      </c>
      <c r="AM147" s="4">
        <f ca="1">IFERROR(INDIRECT(ADDRESS(147,3)) / INDIRECT(ADDRESS(159,3)),0)</f>
        <v>0.14666126147196626</v>
      </c>
      <c r="AN147" s="3">
        <f ca="1">INDIRECT(ADDRESS(147,9))</f>
        <v>337353820.5</v>
      </c>
      <c r="AO147" s="4">
        <f ca="1">IFERROR(INDIRECT(ADDRESS(147,9)) / INDIRECT(ADDRESS(159,9)),0)</f>
        <v>0.16481377755763169</v>
      </c>
      <c r="AP147" s="4">
        <f ca="1">IFERROR((INDIRECT(ADDRESS(147,9)) - INDIRECT(ADDRESS(147,3)))/ INDIRECT(ADDRESS(147,3)),1)</f>
        <v>4.9877762001825733E-2</v>
      </c>
      <c r="AQ147" s="3">
        <f ca="1">INDIRECT(ADDRESS(147,14))</f>
        <v>337956895.69999999</v>
      </c>
      <c r="AR147" s="4">
        <f ca="1">IFERROR(INDIRECT(ADDRESS(147,14)) / INDIRECT(ADDRESS(159,14)),0)</f>
        <v>0.18877006589516301</v>
      </c>
      <c r="AS147" s="4">
        <f ca="1">IFERROR((INDIRECT(ADDRESS(147,14)) - INDIRECT(ADDRESS(147,3)))/ INDIRECT(ADDRESS(147,3)),1)</f>
        <v>5.1754590431859156E-2</v>
      </c>
      <c r="AT147" s="3">
        <f ca="1">INDIRECT(ADDRESS(147,19))</f>
        <v>334548605.80000001</v>
      </c>
      <c r="AU147" s="4">
        <f ca="1">IFERROR(INDIRECT(ADDRESS(147,19)) / INDIRECT(ADDRESS(159,19)),0)</f>
        <v>0.20370104769448624</v>
      </c>
      <c r="AV147" s="4">
        <f ca="1">IFERROR((INDIRECT(ADDRESS(147,19)) - INDIRECT(ADDRESS(147,3)))/ INDIRECT(ADDRESS(147,3)),1)</f>
        <v>4.1147662171310814E-2</v>
      </c>
      <c r="AW147" s="3">
        <f ca="1">INDIRECT(ADDRESS(147,24))</f>
        <v>314874989.19999999</v>
      </c>
      <c r="AX147" s="4">
        <f ca="1">IFERROR(INDIRECT(ADDRESS(147,24)) / INDIRECT(ADDRESS(159,24)),0)</f>
        <v>0.20995547764404254</v>
      </c>
      <c r="AY147" s="4">
        <f ca="1">IFERROR((INDIRECT(ADDRESS(147,24)) - INDIRECT(ADDRESS(147,3)))/ INDIRECT(ADDRESS(147,3)),1)</f>
        <v>-2.0078538071143508E-2</v>
      </c>
      <c r="AZ147" s="3">
        <f ca="1">INDIRECT(ADDRESS(147,29))</f>
        <v>326742154.60000002</v>
      </c>
      <c r="BA147" s="4">
        <f ca="1">IFERROR(INDIRECT(ADDRESS(147,29)) / INDIRECT(ADDRESS(159,29)),0)</f>
        <v>0.22730988477658748</v>
      </c>
      <c r="BB147" s="4">
        <f ca="1">IFERROR((INDIRECT(ADDRESS(147,29)) - INDIRECT(ADDRESS(147,3)))/ INDIRECT(ADDRESS(147,3)),1)</f>
        <v>1.6853229984696662E-2</v>
      </c>
      <c r="BC147" s="3">
        <f ca="1">INDIRECT(ADDRESS(147,34))</f>
        <v>334726814.89999998</v>
      </c>
      <c r="BD147" s="4">
        <f ca="1">IFERROR(INDIRECT(ADDRESS(147,34)) / INDIRECT(ADDRESS(159,34)),0)</f>
        <v>0.23666666678770978</v>
      </c>
      <c r="BE147" s="4">
        <f ca="1">IFERROR((INDIRECT(ADDRESS(147,34)) - INDIRECT(ADDRESS(147,3)))/ INDIRECT(ADDRESS(147,3)),1)</f>
        <v>4.1702266150003039E-2</v>
      </c>
    </row>
    <row r="148" spans="1:57" x14ac:dyDescent="0.25">
      <c r="A148" s="5"/>
      <c r="B148" s="1" t="s">
        <v>102</v>
      </c>
      <c r="C148">
        <v>0</v>
      </c>
      <c r="D148">
        <v>704949.7</v>
      </c>
      <c r="E148">
        <v>4497243.3745999997</v>
      </c>
      <c r="F148">
        <v>8168105.7489999998</v>
      </c>
      <c r="G148">
        <v>15516991.643549999</v>
      </c>
      <c r="H148">
        <v>25899799.192499999</v>
      </c>
      <c r="I148">
        <v>35826905.047200002</v>
      </c>
      <c r="J148">
        <v>45199932.2381</v>
      </c>
      <c r="K148">
        <v>54095626.321999997</v>
      </c>
      <c r="L148">
        <v>62547776.924999997</v>
      </c>
      <c r="M148">
        <v>70267312.230999991</v>
      </c>
      <c r="N148">
        <v>77574195.709000006</v>
      </c>
      <c r="O148">
        <v>87761080.088</v>
      </c>
      <c r="P148">
        <v>97397043.706</v>
      </c>
      <c r="Q148">
        <v>106553725.994</v>
      </c>
      <c r="R148">
        <v>115231217.74600001</v>
      </c>
      <c r="S148">
        <v>123860863.40899999</v>
      </c>
      <c r="T148">
        <v>125769941.749</v>
      </c>
      <c r="U148">
        <v>127800524.109</v>
      </c>
      <c r="V148">
        <v>129943536.639</v>
      </c>
      <c r="W148">
        <v>132141458.899</v>
      </c>
      <c r="X148">
        <v>134512643.54899999</v>
      </c>
      <c r="Y148">
        <v>137101745.52900001</v>
      </c>
      <c r="Z148">
        <v>139696637.229</v>
      </c>
      <c r="AA148">
        <v>142284790.48899999</v>
      </c>
      <c r="AB148">
        <v>144838054.12900001</v>
      </c>
      <c r="AC148">
        <v>147403190.65900001</v>
      </c>
      <c r="AD148">
        <v>149890003.99599999</v>
      </c>
      <c r="AE148">
        <v>152333838.285</v>
      </c>
      <c r="AF148">
        <v>154732172.69400001</v>
      </c>
      <c r="AG148">
        <v>157053604.02500001</v>
      </c>
      <c r="AH148">
        <v>159391359.287</v>
      </c>
      <c r="AK148" s="3" t="str">
        <f ca="1">INDIRECT(ADDRESS(148,2))</f>
        <v>Hydrogen</v>
      </c>
      <c r="AL148" s="3">
        <f ca="1">INDIRECT(ADDRESS(148,3))</f>
        <v>0</v>
      </c>
      <c r="AM148" s="4">
        <f ca="1">IFERROR(INDIRECT(ADDRESS(148,3)) / INDIRECT(ADDRESS(159,3)),0)</f>
        <v>0</v>
      </c>
      <c r="AN148" s="3">
        <f ca="1">INDIRECT(ADDRESS(148,9))</f>
        <v>35826905.047200002</v>
      </c>
      <c r="AO148" s="4">
        <f ca="1">IFERROR(INDIRECT(ADDRESS(148,9)) / INDIRECT(ADDRESS(159,9)),0)</f>
        <v>1.7503188641160249E-2</v>
      </c>
      <c r="AP148" s="4">
        <f ca="1">IFERROR((INDIRECT(ADDRESS(148,9)) - INDIRECT(ADDRESS(148,3)))/ INDIRECT(ADDRESS(148,3)),1)</f>
        <v>1</v>
      </c>
      <c r="AQ148" s="3">
        <f ca="1">INDIRECT(ADDRESS(148,14))</f>
        <v>77574195.709000006</v>
      </c>
      <c r="AR148" s="4">
        <f ca="1">IFERROR(INDIRECT(ADDRESS(148,14)) / INDIRECT(ADDRESS(159,14)),0)</f>
        <v>4.3330040671077819E-2</v>
      </c>
      <c r="AS148" s="4">
        <f ca="1">IFERROR((INDIRECT(ADDRESS(148,14)) - INDIRECT(ADDRESS(148,3)))/ INDIRECT(ADDRESS(148,3)),1)</f>
        <v>1</v>
      </c>
      <c r="AT148" s="3">
        <f ca="1">INDIRECT(ADDRESS(148,19))</f>
        <v>123860863.40899999</v>
      </c>
      <c r="AU148" s="4">
        <f ca="1">IFERROR(INDIRECT(ADDRESS(148,19)) / INDIRECT(ADDRESS(159,19)),0)</f>
        <v>7.541680702695952E-2</v>
      </c>
      <c r="AV148" s="4">
        <f ca="1">IFERROR((INDIRECT(ADDRESS(148,19)) - INDIRECT(ADDRESS(148,3)))/ INDIRECT(ADDRESS(148,3)),1)</f>
        <v>1</v>
      </c>
      <c r="AW148" s="3">
        <f ca="1">INDIRECT(ADDRESS(148,24))</f>
        <v>134512643.54899999</v>
      </c>
      <c r="AX148" s="4">
        <f ca="1">IFERROR(INDIRECT(ADDRESS(148,24)) / INDIRECT(ADDRESS(159,24)),0)</f>
        <v>8.9691678584083404E-2</v>
      </c>
      <c r="AY148" s="4">
        <f ca="1">IFERROR((INDIRECT(ADDRESS(148,24)) - INDIRECT(ADDRESS(148,3)))/ INDIRECT(ADDRESS(148,3)),1)</f>
        <v>1</v>
      </c>
      <c r="AZ148" s="3">
        <f ca="1">INDIRECT(ADDRESS(148,29))</f>
        <v>147403190.65900001</v>
      </c>
      <c r="BA148" s="4">
        <f ca="1">IFERROR(INDIRECT(ADDRESS(148,29)) / INDIRECT(ADDRESS(159,29)),0)</f>
        <v>0.10254631002668502</v>
      </c>
      <c r="BB148" s="4">
        <f ca="1">IFERROR((INDIRECT(ADDRESS(148,29)) - INDIRECT(ADDRESS(148,3)))/ INDIRECT(ADDRESS(148,3)),1)</f>
        <v>1</v>
      </c>
      <c r="BC148" s="3">
        <f ca="1">INDIRECT(ADDRESS(148,34))</f>
        <v>159391359.287</v>
      </c>
      <c r="BD148" s="4">
        <f ca="1">IFERROR(INDIRECT(ADDRESS(148,34)) / INDIRECT(ADDRESS(159,34)),0)</f>
        <v>0.11269674265112652</v>
      </c>
      <c r="BE148" s="4">
        <f ca="1">IFERROR((INDIRECT(ADDRESS(148,34)) - INDIRECT(ADDRESS(148,3)))/ INDIRECT(ADDRESS(148,3)),1)</f>
        <v>1</v>
      </c>
    </row>
    <row r="149" spans="1:57" x14ac:dyDescent="0.25">
      <c r="A149" s="5"/>
      <c r="B149" s="1" t="s">
        <v>103</v>
      </c>
      <c r="C149">
        <v>610090.47</v>
      </c>
      <c r="D149">
        <v>610090.47199999995</v>
      </c>
      <c r="E149">
        <v>610090.44700000004</v>
      </c>
      <c r="F149">
        <v>610090.45799999998</v>
      </c>
      <c r="G149">
        <v>5765270.2699999996</v>
      </c>
      <c r="H149">
        <v>10918828.609999999</v>
      </c>
      <c r="I149">
        <v>16071761.810000001</v>
      </c>
      <c r="J149">
        <v>21225024.640000001</v>
      </c>
      <c r="K149">
        <v>26378509.620000001</v>
      </c>
      <c r="L149">
        <v>31532105.039999999</v>
      </c>
      <c r="M149">
        <v>36685710.270000003</v>
      </c>
      <c r="N149">
        <v>41839230.109999999</v>
      </c>
      <c r="O149">
        <v>46992626.899999999</v>
      </c>
      <c r="P149">
        <v>52145817.399999999</v>
      </c>
      <c r="Q149">
        <v>57298730.100000001</v>
      </c>
      <c r="R149">
        <v>62451289.799999997</v>
      </c>
      <c r="S149">
        <v>67603417.400000006</v>
      </c>
      <c r="T149">
        <v>67603414.299999997</v>
      </c>
      <c r="U149">
        <v>67603411.5</v>
      </c>
      <c r="V149">
        <v>67603417.900000006</v>
      </c>
      <c r="W149">
        <v>67602168.599999994</v>
      </c>
      <c r="X149">
        <v>67595822</v>
      </c>
      <c r="Y149">
        <v>67593928.099999994</v>
      </c>
      <c r="Z149">
        <v>67592670.599999994</v>
      </c>
      <c r="AA149">
        <v>67591900</v>
      </c>
      <c r="AB149">
        <v>67591061.900000006</v>
      </c>
      <c r="AC149">
        <v>67590886.200000003</v>
      </c>
      <c r="AD149">
        <v>67590506.099999994</v>
      </c>
      <c r="AE149">
        <v>67590130.200000003</v>
      </c>
      <c r="AF149">
        <v>67589765.700000003</v>
      </c>
      <c r="AG149">
        <v>67589153.799999997</v>
      </c>
      <c r="AH149">
        <v>67589061.900000006</v>
      </c>
      <c r="AK149" s="3" t="str">
        <f ca="1">INDIRECT(ADDRESS(149,2))</f>
        <v>Local Electricity</v>
      </c>
      <c r="AL149" s="3">
        <f ca="1">INDIRECT(ADDRESS(149,3))</f>
        <v>610090.47</v>
      </c>
      <c r="AM149" s="4">
        <f ca="1">IFERROR(INDIRECT(ADDRESS(149,3)) / INDIRECT(ADDRESS(159,3)),0)</f>
        <v>2.7845996305896466E-4</v>
      </c>
      <c r="AN149" s="3">
        <f ca="1">INDIRECT(ADDRESS(149,9))</f>
        <v>16071761.810000001</v>
      </c>
      <c r="AO149" s="4">
        <f ca="1">IFERROR(INDIRECT(ADDRESS(149,9)) / INDIRECT(ADDRESS(159,9)),0)</f>
        <v>7.8518386778209919E-3</v>
      </c>
      <c r="AP149" s="4">
        <f ca="1">IFERROR((INDIRECT(ADDRESS(149,9)) - INDIRECT(ADDRESS(149,3)))/ INDIRECT(ADDRESS(149,3)),1)</f>
        <v>25.343243502885727</v>
      </c>
      <c r="AQ149" s="3">
        <f ca="1">INDIRECT(ADDRESS(149,14))</f>
        <v>41839230.109999999</v>
      </c>
      <c r="AR149" s="4">
        <f ca="1">IFERROR(INDIRECT(ADDRESS(149,14)) / INDIRECT(ADDRESS(159,14)),0)</f>
        <v>2.3369827115108006E-2</v>
      </c>
      <c r="AS149" s="4">
        <f ca="1">IFERROR((INDIRECT(ADDRESS(149,14)) - INDIRECT(ADDRESS(149,3)))/ INDIRECT(ADDRESS(149,3)),1)</f>
        <v>67.578730806924426</v>
      </c>
      <c r="AT149" s="3">
        <f ca="1">INDIRECT(ADDRESS(149,19))</f>
        <v>67603417.400000006</v>
      </c>
      <c r="AU149" s="4">
        <f ca="1">IFERROR(INDIRECT(ADDRESS(149,19)) / INDIRECT(ADDRESS(159,19)),0)</f>
        <v>4.1162589571035843E-2</v>
      </c>
      <c r="AV149" s="4">
        <f ca="1">IFERROR((INDIRECT(ADDRESS(149,19)) - INDIRECT(ADDRESS(149,3)))/ INDIRECT(ADDRESS(149,3)),1)</f>
        <v>109.80884020365046</v>
      </c>
      <c r="AW149" s="3">
        <f ca="1">INDIRECT(ADDRESS(149,24))</f>
        <v>67595822</v>
      </c>
      <c r="AX149" s="4">
        <f ca="1">IFERROR(INDIRECT(ADDRESS(149,24)) / INDIRECT(ADDRESS(159,24)),0)</f>
        <v>4.5072214629715279E-2</v>
      </c>
      <c r="AY149" s="4">
        <f ca="1">IFERROR((INDIRECT(ADDRESS(149,24)) - INDIRECT(ADDRESS(149,3)))/ INDIRECT(ADDRESS(149,3)),1)</f>
        <v>109.79639057466346</v>
      </c>
      <c r="AZ149" s="3">
        <f ca="1">INDIRECT(ADDRESS(149,29))</f>
        <v>67590886.200000003</v>
      </c>
      <c r="BA149" s="4">
        <f ca="1">IFERROR(INDIRECT(ADDRESS(149,29)) / INDIRECT(ADDRESS(159,29)),0)</f>
        <v>4.7022021302633096E-2</v>
      </c>
      <c r="BB149" s="4">
        <f ca="1">IFERROR((INDIRECT(ADDRESS(149,29)) - INDIRECT(ADDRESS(149,3)))/ INDIRECT(ADDRESS(149,3)),1)</f>
        <v>109.78830029913433</v>
      </c>
      <c r="BC149" s="3">
        <f ca="1">INDIRECT(ADDRESS(149,34))</f>
        <v>67589061.900000006</v>
      </c>
      <c r="BD149" s="4">
        <f ca="1">IFERROR(INDIRECT(ADDRESS(149,34)) / INDIRECT(ADDRESS(159,34)),0)</f>
        <v>4.7788456971874331E-2</v>
      </c>
      <c r="BE149" s="4">
        <f ca="1">IFERROR((INDIRECT(ADDRESS(149,34)) - INDIRECT(ADDRESS(149,3)))/ INDIRECT(ADDRESS(149,3)),1)</f>
        <v>109.78531008687942</v>
      </c>
    </row>
    <row r="150" spans="1:57" x14ac:dyDescent="0.25">
      <c r="A150" s="5"/>
      <c r="B150" s="1" t="s">
        <v>46</v>
      </c>
      <c r="C150">
        <v>368529502.75</v>
      </c>
      <c r="D150">
        <v>368041453.55000001</v>
      </c>
      <c r="E150">
        <v>368879098.94999999</v>
      </c>
      <c r="F150">
        <v>369291322.94999999</v>
      </c>
      <c r="G150">
        <v>364503595.58999997</v>
      </c>
      <c r="H150">
        <v>352149707.43000001</v>
      </c>
      <c r="I150">
        <v>343153705.01999998</v>
      </c>
      <c r="J150">
        <v>326184060.89999998</v>
      </c>
      <c r="K150">
        <v>309071407.88</v>
      </c>
      <c r="L150">
        <v>291691301.02999997</v>
      </c>
      <c r="M150">
        <v>270409904.49000001</v>
      </c>
      <c r="N150">
        <v>183152844.16</v>
      </c>
      <c r="O150">
        <v>158621756.97</v>
      </c>
      <c r="P150">
        <v>134684340.90000001</v>
      </c>
      <c r="Q150">
        <v>111664810.37</v>
      </c>
      <c r="R150">
        <v>89296007.980000004</v>
      </c>
      <c r="S150">
        <v>69953796.566</v>
      </c>
      <c r="T150">
        <v>58200498.645999998</v>
      </c>
      <c r="U150">
        <v>47309228.229999997</v>
      </c>
      <c r="V150">
        <v>37237867.443000004</v>
      </c>
      <c r="W150">
        <v>27641637.344999999</v>
      </c>
      <c r="X150">
        <v>19291075.9421</v>
      </c>
      <c r="Y150">
        <v>18084076.158405479</v>
      </c>
      <c r="Z150">
        <v>17329240.081431489</v>
      </c>
      <c r="AA150">
        <v>16563659.0116325</v>
      </c>
      <c r="AB150">
        <v>15786711.944719531</v>
      </c>
      <c r="AC150">
        <v>4263389.8882788131</v>
      </c>
      <c r="AD150">
        <v>3464044.8340911609</v>
      </c>
      <c r="AE150">
        <v>2652268.782127047</v>
      </c>
      <c r="AF150">
        <v>1828203.7318307851</v>
      </c>
      <c r="AG150">
        <v>992047.87800935609</v>
      </c>
      <c r="AH150">
        <v>144032.435248408</v>
      </c>
      <c r="AK150" s="3" t="str">
        <f ca="1">INDIRECT(ADDRESS(150,2))</f>
        <v>Natural Gas</v>
      </c>
      <c r="AL150" s="3">
        <f ca="1">INDIRECT(ADDRESS(150,3))</f>
        <v>368529502.75</v>
      </c>
      <c r="AM150" s="4">
        <f ca="1">IFERROR(INDIRECT(ADDRESS(150,3)) / INDIRECT(ADDRESS(159,3)),0)</f>
        <v>0.16820572811423135</v>
      </c>
      <c r="AN150" s="3">
        <f ca="1">INDIRECT(ADDRESS(150,9))</f>
        <v>343153705.01999998</v>
      </c>
      <c r="AO150" s="4">
        <f ca="1">IFERROR(INDIRECT(ADDRESS(150,9)) / INDIRECT(ADDRESS(159,9)),0)</f>
        <v>0.16764730372230494</v>
      </c>
      <c r="AP150" s="4">
        <f ca="1">IFERROR((INDIRECT(ADDRESS(150,9)) - INDIRECT(ADDRESS(150,3)))/ INDIRECT(ADDRESS(150,3)),1)</f>
        <v>-6.8856896233933929E-2</v>
      </c>
      <c r="AQ150" s="3">
        <f ca="1">INDIRECT(ADDRESS(150,14))</f>
        <v>183152844.16</v>
      </c>
      <c r="AR150" s="4">
        <f ca="1">IFERROR(INDIRECT(ADDRESS(150,14)) / INDIRECT(ADDRESS(159,14)),0)</f>
        <v>0.10230231991378101</v>
      </c>
      <c r="AS150" s="4">
        <f ca="1">IFERROR((INDIRECT(ADDRESS(150,14)) - INDIRECT(ADDRESS(150,3)))/ INDIRECT(ADDRESS(150,3)),1)</f>
        <v>-0.50301714572836875</v>
      </c>
      <c r="AT150" s="3">
        <f ca="1">INDIRECT(ADDRESS(150,19))</f>
        <v>69953796.566</v>
      </c>
      <c r="AU150" s="4">
        <f ca="1">IFERROR(INDIRECT(ADDRESS(150,19)) / INDIRECT(ADDRESS(159,19)),0)</f>
        <v>4.2593696113681884E-2</v>
      </c>
      <c r="AV150" s="4">
        <f ca="1">IFERROR((INDIRECT(ADDRESS(150,19)) - INDIRECT(ADDRESS(150,3)))/ INDIRECT(ADDRESS(150,3)),1)</f>
        <v>-0.81018128523225819</v>
      </c>
      <c r="AW150" s="3">
        <f ca="1">INDIRECT(ADDRESS(150,24))</f>
        <v>19291075.9421</v>
      </c>
      <c r="AX150" s="4">
        <f ca="1">IFERROR(INDIRECT(ADDRESS(150,24)) / INDIRECT(ADDRESS(159,24)),0)</f>
        <v>1.2863095522389949E-2</v>
      </c>
      <c r="AY150" s="4">
        <f ca="1">IFERROR((INDIRECT(ADDRESS(150,24)) - INDIRECT(ADDRESS(150,3)))/ INDIRECT(ADDRESS(150,3)),1)</f>
        <v>-0.94765391699131751</v>
      </c>
      <c r="AZ150" s="3">
        <f ca="1">INDIRECT(ADDRESS(150,29))</f>
        <v>4263389.8882788131</v>
      </c>
      <c r="BA150" s="4">
        <f ca="1">IFERROR(INDIRECT(ADDRESS(150,29)) / INDIRECT(ADDRESS(159,29)),0)</f>
        <v>2.9659799037828993E-3</v>
      </c>
      <c r="BB150" s="4">
        <f ca="1">IFERROR((INDIRECT(ADDRESS(150,29)) - INDIRECT(ADDRESS(150,3)))/ INDIRECT(ADDRESS(150,3)),1)</f>
        <v>-0.98843134713377068</v>
      </c>
      <c r="BC150" s="3">
        <f ca="1">INDIRECT(ADDRESS(150,34))</f>
        <v>144032.435248408</v>
      </c>
      <c r="BD150" s="4">
        <f ca="1">IFERROR(INDIRECT(ADDRESS(150,34)) / INDIRECT(ADDRESS(159,34)),0)</f>
        <v>1.0183730386148207E-4</v>
      </c>
      <c r="BE150" s="4">
        <f ca="1">IFERROR((INDIRECT(ADDRESS(150,34)) - INDIRECT(ADDRESS(150,3)))/ INDIRECT(ADDRESS(150,3)),1)</f>
        <v>-0.99960916986517045</v>
      </c>
    </row>
    <row r="151" spans="1:57" x14ac:dyDescent="0.25">
      <c r="A151" s="5"/>
      <c r="B151" s="1" t="s">
        <v>48</v>
      </c>
      <c r="C151">
        <v>97427065.099999994</v>
      </c>
      <c r="D151">
        <v>97160625.099999994</v>
      </c>
      <c r="E151">
        <v>102103355.09999999</v>
      </c>
      <c r="F151">
        <v>106383375.09999999</v>
      </c>
      <c r="G151">
        <v>110287525.09999999</v>
      </c>
      <c r="H151">
        <v>113159585.09999999</v>
      </c>
      <c r="I151">
        <v>113028842.09999999</v>
      </c>
      <c r="J151">
        <v>113182428.09999999</v>
      </c>
      <c r="K151">
        <v>112421688.09999999</v>
      </c>
      <c r="L151">
        <v>110831788.09999999</v>
      </c>
      <c r="M151">
        <v>108662867.09999999</v>
      </c>
      <c r="N151">
        <v>106359001.09999999</v>
      </c>
      <c r="O151">
        <v>104028611.09999999</v>
      </c>
      <c r="P151">
        <v>101635967.09999999</v>
      </c>
      <c r="Q151">
        <v>99018221.099999994</v>
      </c>
      <c r="R151">
        <v>95496090.099999994</v>
      </c>
      <c r="S151">
        <v>92093822.099999994</v>
      </c>
      <c r="T151">
        <v>89985448.099999994</v>
      </c>
      <c r="U151">
        <v>87542181.099999994</v>
      </c>
      <c r="V151">
        <v>84916515.099999994</v>
      </c>
      <c r="W151">
        <v>81094783.099999994</v>
      </c>
      <c r="X151">
        <v>77562605.099999994</v>
      </c>
      <c r="Y151">
        <v>74727948.099999994</v>
      </c>
      <c r="Z151">
        <v>72089566.099999994</v>
      </c>
      <c r="AA151">
        <v>69697748.099999994</v>
      </c>
      <c r="AB151">
        <v>67562647.099999994</v>
      </c>
      <c r="AC151">
        <v>65666723.100000001</v>
      </c>
      <c r="AD151">
        <v>63986398.100000001</v>
      </c>
      <c r="AE151">
        <v>62503015.100000001</v>
      </c>
      <c r="AF151">
        <v>61188239.100000001</v>
      </c>
      <c r="AG151">
        <v>60008141.100000001</v>
      </c>
      <c r="AH151">
        <v>58924647.100000001</v>
      </c>
      <c r="AK151" s="3" t="str">
        <f ca="1">INDIRECT(ADDRESS(151,2))</f>
        <v>Other</v>
      </c>
      <c r="AL151" s="3">
        <f ca="1">INDIRECT(ADDRESS(151,3))</f>
        <v>97427065.099999994</v>
      </c>
      <c r="AM151" s="4">
        <f ca="1">IFERROR(INDIRECT(ADDRESS(151,3)) / INDIRECT(ADDRESS(159,3)),0)</f>
        <v>4.4468055612619788E-2</v>
      </c>
      <c r="AN151" s="3">
        <f ca="1">INDIRECT(ADDRESS(151,9))</f>
        <v>113028842.09999999</v>
      </c>
      <c r="AO151" s="4">
        <f ca="1">IFERROR(INDIRECT(ADDRESS(151,9)) / INDIRECT(ADDRESS(159,9)),0)</f>
        <v>5.5220096253411413E-2</v>
      </c>
      <c r="AP151" s="4">
        <f ca="1">IFERROR((INDIRECT(ADDRESS(151,9)) - INDIRECT(ADDRESS(151,3)))/ INDIRECT(ADDRESS(151,3)),1)</f>
        <v>0.16013801692564791</v>
      </c>
      <c r="AQ151" s="3">
        <f ca="1">INDIRECT(ADDRESS(151,14))</f>
        <v>106359001.09999999</v>
      </c>
      <c r="AR151" s="4">
        <f ca="1">IFERROR(INDIRECT(ADDRESS(151,14)) / INDIRECT(ADDRESS(159,14)),0)</f>
        <v>5.9408155009250535E-2</v>
      </c>
      <c r="AS151" s="4">
        <f ca="1">IFERROR((INDIRECT(ADDRESS(151,14)) - INDIRECT(ADDRESS(151,3)))/ INDIRECT(ADDRESS(151,3)),1)</f>
        <v>9.1678179885970934E-2</v>
      </c>
      <c r="AT151" s="3">
        <f ca="1">INDIRECT(ADDRESS(151,19))</f>
        <v>92093822.099999994</v>
      </c>
      <c r="AU151" s="4">
        <f ca="1">IFERROR(INDIRECT(ADDRESS(151,19)) / INDIRECT(ADDRESS(159,19)),0)</f>
        <v>5.607438716744946E-2</v>
      </c>
      <c r="AV151" s="4">
        <f ca="1">IFERROR((INDIRECT(ADDRESS(151,19)) - INDIRECT(ADDRESS(151,3)))/ INDIRECT(ADDRESS(151,3)),1)</f>
        <v>-5.4740877132303148E-2</v>
      </c>
      <c r="AW151" s="3">
        <f ca="1">INDIRECT(ADDRESS(151,24))</f>
        <v>77562605.099999994</v>
      </c>
      <c r="AX151" s="4">
        <f ca="1">IFERROR(INDIRECT(ADDRESS(151,24)) / INDIRECT(ADDRESS(159,24)),0)</f>
        <v>5.1717965413706317E-2</v>
      </c>
      <c r="AY151" s="4">
        <f ca="1">IFERROR((INDIRECT(ADDRESS(151,24)) - INDIRECT(ADDRESS(151,3)))/ INDIRECT(ADDRESS(151,3)),1)</f>
        <v>-0.20389057167647351</v>
      </c>
      <c r="AZ151" s="3">
        <f ca="1">INDIRECT(ADDRESS(151,29))</f>
        <v>65666723.100000001</v>
      </c>
      <c r="BA151" s="4">
        <f ca="1">IFERROR(INDIRECT(ADDRESS(151,29)) / INDIRECT(ADDRESS(159,29)),0)</f>
        <v>4.5683408312558994E-2</v>
      </c>
      <c r="BB151" s="4">
        <f ca="1">IFERROR((INDIRECT(ADDRESS(151,29)) - INDIRECT(ADDRESS(151,3)))/ INDIRECT(ADDRESS(151,3)),1)</f>
        <v>-0.32599095505341252</v>
      </c>
      <c r="BC151" s="3">
        <f ca="1">INDIRECT(ADDRESS(151,34))</f>
        <v>58924647.100000001</v>
      </c>
      <c r="BD151" s="4">
        <f ca="1">IFERROR(INDIRECT(ADDRESS(151,34)) / INDIRECT(ADDRESS(159,34)),0)</f>
        <v>4.1662332385785476E-2</v>
      </c>
      <c r="BE151" s="4">
        <f ca="1">IFERROR((INDIRECT(ADDRESS(151,34)) - INDIRECT(ADDRESS(151,3)))/ INDIRECT(ADDRESS(151,3)),1)</f>
        <v>-0.39519221851218422</v>
      </c>
    </row>
    <row r="152" spans="1:57" x14ac:dyDescent="0.25">
      <c r="A152" s="5"/>
      <c r="B152" s="1" t="s">
        <v>49</v>
      </c>
      <c r="C152">
        <v>11547872.9618</v>
      </c>
      <c r="D152">
        <v>11537872.561799999</v>
      </c>
      <c r="E152">
        <v>11506891.141799999</v>
      </c>
      <c r="F152">
        <v>11461867.5228</v>
      </c>
      <c r="G152">
        <v>11311755.841800001</v>
      </c>
      <c r="H152">
        <v>11039911.160800001</v>
      </c>
      <c r="I152">
        <v>10727430.6678</v>
      </c>
      <c r="J152">
        <v>10343579.299799999</v>
      </c>
      <c r="K152">
        <v>9936402.9668000005</v>
      </c>
      <c r="L152">
        <v>9498127.5888</v>
      </c>
      <c r="M152">
        <v>8981872.5947999991</v>
      </c>
      <c r="N152">
        <v>8458958.7268000003</v>
      </c>
      <c r="O152">
        <v>7826116.8427999998</v>
      </c>
      <c r="P152">
        <v>7202476.5977999996</v>
      </c>
      <c r="Q152">
        <v>6603675.6617999999</v>
      </c>
      <c r="R152">
        <v>6034879.3177999994</v>
      </c>
      <c r="S152">
        <v>5538478.6828000015</v>
      </c>
      <c r="T152">
        <v>5137346.4078000002</v>
      </c>
      <c r="U152">
        <v>4776120.2498000003</v>
      </c>
      <c r="V152">
        <v>4449990.2747999998</v>
      </c>
      <c r="W152">
        <v>4150714.6718000001</v>
      </c>
      <c r="X152">
        <v>3877584.8377999999</v>
      </c>
      <c r="Y152">
        <v>3717620.7548000002</v>
      </c>
      <c r="Z152">
        <v>3581149.6878</v>
      </c>
      <c r="AA152">
        <v>3465828.1077999999</v>
      </c>
      <c r="AB152">
        <v>3365826.3287999998</v>
      </c>
      <c r="AC152">
        <v>3277099.4528000001</v>
      </c>
      <c r="AD152">
        <v>3191562.1667999998</v>
      </c>
      <c r="AE152">
        <v>3109916.2288000002</v>
      </c>
      <c r="AF152">
        <v>3031100.4167999998</v>
      </c>
      <c r="AG152">
        <v>2953139.3838</v>
      </c>
      <c r="AH152">
        <v>2880049.6756000002</v>
      </c>
      <c r="AK152" s="3" t="str">
        <f ca="1">INDIRECT(ADDRESS(152,2))</f>
        <v>Propane</v>
      </c>
      <c r="AL152" s="3">
        <f ca="1">INDIRECT(ADDRESS(152,3))</f>
        <v>11547872.9618</v>
      </c>
      <c r="AM152" s="4">
        <f ca="1">IFERROR(INDIRECT(ADDRESS(152,3)) / INDIRECT(ADDRESS(159,3)),0)</f>
        <v>5.2707269437472851E-3</v>
      </c>
      <c r="AN152" s="3">
        <f ca="1">INDIRECT(ADDRESS(152,9))</f>
        <v>10727430.6678</v>
      </c>
      <c r="AO152" s="4">
        <f ca="1">IFERROR(INDIRECT(ADDRESS(152,9)) / INDIRECT(ADDRESS(159,9)),0)</f>
        <v>5.2408725332568316E-3</v>
      </c>
      <c r="AP152" s="4">
        <f ca="1">IFERROR((INDIRECT(ADDRESS(152,9)) - INDIRECT(ADDRESS(152,3)))/ INDIRECT(ADDRESS(152,3)),1)</f>
        <v>-7.104704881271183E-2</v>
      </c>
      <c r="AQ152" s="3">
        <f ca="1">INDIRECT(ADDRESS(152,14))</f>
        <v>8458958.7268000003</v>
      </c>
      <c r="AR152" s="4">
        <f ca="1">IFERROR(INDIRECT(ADDRESS(152,14)) / INDIRECT(ADDRESS(159,14)),0)</f>
        <v>4.7248575678714884E-3</v>
      </c>
      <c r="AS152" s="4">
        <f ca="1">IFERROR((INDIRECT(ADDRESS(152,14)) - INDIRECT(ADDRESS(152,3)))/ INDIRECT(ADDRESS(152,3)),1)</f>
        <v>-0.26748772221672601</v>
      </c>
      <c r="AT152" s="3">
        <f ca="1">INDIRECT(ADDRESS(152,19))</f>
        <v>5538478.6828000015</v>
      </c>
      <c r="AU152" s="4">
        <f ca="1">IFERROR(INDIRECT(ADDRESS(152,19)) / INDIRECT(ADDRESS(159,19)),0)</f>
        <v>3.3722869883797864E-3</v>
      </c>
      <c r="AV152" s="4">
        <f ca="1">IFERROR((INDIRECT(ADDRESS(152,19)) - INDIRECT(ADDRESS(152,3)))/ INDIRECT(ADDRESS(152,3)),1)</f>
        <v>-0.52038971149742341</v>
      </c>
      <c r="AW152" s="3">
        <f ca="1">INDIRECT(ADDRESS(152,24))</f>
        <v>3877584.8377999999</v>
      </c>
      <c r="AX152" s="4">
        <f ca="1">IFERROR(INDIRECT(ADDRESS(152,24)) / INDIRECT(ADDRESS(159,24)),0)</f>
        <v>2.5855345919789437E-3</v>
      </c>
      <c r="AY152" s="4">
        <f ca="1">IFERROR((INDIRECT(ADDRESS(152,24)) - INDIRECT(ADDRESS(152,3)))/ INDIRECT(ADDRESS(152,3)),1)</f>
        <v>-0.6642165314229791</v>
      </c>
      <c r="AZ152" s="3">
        <f ca="1">INDIRECT(ADDRESS(152,29))</f>
        <v>3277099.4528000001</v>
      </c>
      <c r="BA152" s="4">
        <f ca="1">IFERROR(INDIRECT(ADDRESS(152,29)) / INDIRECT(ADDRESS(159,29)),0)</f>
        <v>2.2798316303242797E-3</v>
      </c>
      <c r="BB152" s="4">
        <f ca="1">IFERROR((INDIRECT(ADDRESS(152,29)) - INDIRECT(ADDRESS(152,3)))/ INDIRECT(ADDRESS(152,3)),1)</f>
        <v>-0.71621618425830091</v>
      </c>
      <c r="BC152" s="3">
        <f ca="1">INDIRECT(ADDRESS(152,34))</f>
        <v>2880049.6756000002</v>
      </c>
      <c r="BD152" s="4">
        <f ca="1">IFERROR(INDIRECT(ADDRESS(152,34)) / INDIRECT(ADDRESS(159,34)),0)</f>
        <v>2.0363225369646864E-3</v>
      </c>
      <c r="BE152" s="4">
        <f ca="1">IFERROR((INDIRECT(ADDRESS(152,34)) - INDIRECT(ADDRESS(152,3)))/ INDIRECT(ADDRESS(152,3)),1)</f>
        <v>-0.75059912027720488</v>
      </c>
    </row>
    <row r="153" spans="1:57" x14ac:dyDescent="0.25">
      <c r="A153" s="5"/>
      <c r="B153" s="1" t="s">
        <v>50</v>
      </c>
      <c r="C153">
        <v>2016918.442</v>
      </c>
      <c r="D153">
        <v>2017239.172</v>
      </c>
      <c r="E153">
        <v>2094246.362</v>
      </c>
      <c r="F153">
        <v>2290151.1719999998</v>
      </c>
      <c r="G153">
        <v>4289523.3657999998</v>
      </c>
      <c r="H153">
        <v>7072553.0855999999</v>
      </c>
      <c r="I153">
        <v>9872931.2332000006</v>
      </c>
      <c r="J153">
        <v>15721015.771</v>
      </c>
      <c r="K153">
        <v>21585110.067000002</v>
      </c>
      <c r="L153">
        <v>27469122.131999999</v>
      </c>
      <c r="M153">
        <v>33403449.625999998</v>
      </c>
      <c r="N153">
        <v>39251466.713</v>
      </c>
      <c r="O153">
        <v>47282647.980999999</v>
      </c>
      <c r="P153">
        <v>55415716.517999999</v>
      </c>
      <c r="Q153">
        <v>63669977.5</v>
      </c>
      <c r="R153">
        <v>72083690.280000001</v>
      </c>
      <c r="S153">
        <v>80576348.239999995</v>
      </c>
      <c r="T153">
        <v>83835981.890000001</v>
      </c>
      <c r="U153">
        <v>87155621.260000005</v>
      </c>
      <c r="V153">
        <v>90531464.700000003</v>
      </c>
      <c r="W153">
        <v>93988736.219999999</v>
      </c>
      <c r="X153">
        <v>97432830.280000001</v>
      </c>
      <c r="Y153">
        <v>95740616.939999998</v>
      </c>
      <c r="Z153">
        <v>93923030.939999998</v>
      </c>
      <c r="AA153">
        <v>92374940.640000001</v>
      </c>
      <c r="AB153">
        <v>90942479.040000007</v>
      </c>
      <c r="AC153">
        <v>89865876.769999996</v>
      </c>
      <c r="AD153">
        <v>88917483.459999993</v>
      </c>
      <c r="AE153">
        <v>88059105.329999998</v>
      </c>
      <c r="AF153">
        <v>87270393.379999995</v>
      </c>
      <c r="AG153">
        <v>86365839.679999992</v>
      </c>
      <c r="AH153">
        <v>85865119.280000001</v>
      </c>
      <c r="AK153" s="3" t="str">
        <f ca="1">INDIRECT(ADDRESS(153,2))</f>
        <v>RNG</v>
      </c>
      <c r="AL153" s="3">
        <f ca="1">INDIRECT(ADDRESS(153,3))</f>
        <v>2016918.442</v>
      </c>
      <c r="AM153" s="4">
        <f ca="1">IFERROR(INDIRECT(ADDRESS(153,3)) / INDIRECT(ADDRESS(159,3)),0)</f>
        <v>9.2057008340462121E-4</v>
      </c>
      <c r="AN153" s="3">
        <f ca="1">INDIRECT(ADDRESS(153,9))</f>
        <v>9872931.2332000006</v>
      </c>
      <c r="AO153" s="4">
        <f ca="1">IFERROR(INDIRECT(ADDRESS(153,9)) / INDIRECT(ADDRESS(159,9)),0)</f>
        <v>4.8234079273171276E-3</v>
      </c>
      <c r="AP153" s="4">
        <f ca="1">IFERROR((INDIRECT(ADDRESS(153,9)) - INDIRECT(ADDRESS(153,3)))/ INDIRECT(ADDRESS(153,3)),1)</f>
        <v>3.895057245552223</v>
      </c>
      <c r="AQ153" s="3">
        <f ca="1">INDIRECT(ADDRESS(153,14))</f>
        <v>39251466.713</v>
      </c>
      <c r="AR153" s="4">
        <f ca="1">IFERROR(INDIRECT(ADDRESS(153,14)) / INDIRECT(ADDRESS(159,14)),0)</f>
        <v>2.1924399389891804E-2</v>
      </c>
      <c r="AS153" s="4">
        <f ca="1">IFERROR((INDIRECT(ADDRESS(153,14)) - INDIRECT(ADDRESS(153,3)))/ INDIRECT(ADDRESS(153,3)),1)</f>
        <v>18.461107546856372</v>
      </c>
      <c r="AT153" s="3">
        <f ca="1">INDIRECT(ADDRESS(153,19))</f>
        <v>80576348.239999995</v>
      </c>
      <c r="AU153" s="4">
        <f ca="1">IFERROR(INDIRECT(ADDRESS(153,19)) / INDIRECT(ADDRESS(159,19)),0)</f>
        <v>4.9061590068906424E-2</v>
      </c>
      <c r="AV153" s="4">
        <f ca="1">IFERROR((INDIRECT(ADDRESS(153,19)) - INDIRECT(ADDRESS(153,3)))/ INDIRECT(ADDRESS(153,3)),1)</f>
        <v>38.95022632650408</v>
      </c>
      <c r="AW153" s="3">
        <f ca="1">INDIRECT(ADDRESS(153,24))</f>
        <v>97432830.280000001</v>
      </c>
      <c r="AX153" s="4">
        <f ca="1">IFERROR(INDIRECT(ADDRESS(153,24)) / INDIRECT(ADDRESS(159,24)),0)</f>
        <v>6.49672318262626E-2</v>
      </c>
      <c r="AY153" s="4">
        <f ca="1">IFERROR((INDIRECT(ADDRESS(153,24)) - INDIRECT(ADDRESS(153,3)))/ INDIRECT(ADDRESS(153,3)),1)</f>
        <v>47.307769045626088</v>
      </c>
      <c r="AZ153" s="3">
        <f ca="1">INDIRECT(ADDRESS(153,29))</f>
        <v>89865876.769999996</v>
      </c>
      <c r="BA153" s="4">
        <f ca="1">IFERROR(INDIRECT(ADDRESS(153,29)) / INDIRECT(ADDRESS(159,29)),0)</f>
        <v>6.2518416452701286E-2</v>
      </c>
      <c r="BB153" s="4">
        <f ca="1">IFERROR((INDIRECT(ADDRESS(153,29)) - INDIRECT(ADDRESS(153,3)))/ INDIRECT(ADDRESS(153,3)),1)</f>
        <v>43.556029088061656</v>
      </c>
      <c r="BC153" s="3">
        <f ca="1">INDIRECT(ADDRESS(153,34))</f>
        <v>85865119.280000001</v>
      </c>
      <c r="BD153" s="4">
        <f ca="1">IFERROR(INDIRECT(ADDRESS(153,34)) / INDIRECT(ADDRESS(159,34)),0)</f>
        <v>6.0710438090828663E-2</v>
      </c>
      <c r="BE153" s="4">
        <f ca="1">IFERROR((INDIRECT(ADDRESS(153,34)) - INDIRECT(ADDRESS(153,3)))/ INDIRECT(ADDRESS(153,3)),1)</f>
        <v>41.572430045736077</v>
      </c>
    </row>
    <row r="154" spans="1:57" x14ac:dyDescent="0.25">
      <c r="A154" s="5"/>
      <c r="B154" s="1" t="s">
        <v>104</v>
      </c>
      <c r="C154">
        <v>441453.027</v>
      </c>
      <c r="D154">
        <v>875420.12699999998</v>
      </c>
      <c r="E154">
        <v>875420.12699999998</v>
      </c>
      <c r="F154">
        <v>875420.12699999998</v>
      </c>
      <c r="G154">
        <v>874554.62699999998</v>
      </c>
      <c r="H154">
        <v>873669.32700000005</v>
      </c>
      <c r="I154">
        <v>887979.98800000001</v>
      </c>
      <c r="J154">
        <v>887014.46899999992</v>
      </c>
      <c r="K154">
        <v>886048.95200000005</v>
      </c>
      <c r="L154">
        <v>885083.53700000001</v>
      </c>
      <c r="M154">
        <v>884118.125</v>
      </c>
      <c r="N154">
        <v>869391.31400000001</v>
      </c>
      <c r="O154">
        <v>868327.66399999999</v>
      </c>
      <c r="P154">
        <v>867263.61599999992</v>
      </c>
      <c r="Q154">
        <v>866199.37</v>
      </c>
      <c r="R154">
        <v>865134.62600000005</v>
      </c>
      <c r="S154">
        <v>864069.28399999999</v>
      </c>
      <c r="T154">
        <v>864076.83699999994</v>
      </c>
      <c r="U154">
        <v>864084.39199999999</v>
      </c>
      <c r="V154">
        <v>864091.95</v>
      </c>
      <c r="W154">
        <v>864099.50899999996</v>
      </c>
      <c r="X154">
        <v>864107.071</v>
      </c>
      <c r="Y154">
        <v>864109.82</v>
      </c>
      <c r="Z154">
        <v>864112.571</v>
      </c>
      <c r="AA154">
        <v>864115.32400000002</v>
      </c>
      <c r="AB154">
        <v>864118.07900000003</v>
      </c>
      <c r="AC154">
        <v>854128.93599999999</v>
      </c>
      <c r="AD154">
        <v>854128.17299999995</v>
      </c>
      <c r="AE154">
        <v>854127.41099999996</v>
      </c>
      <c r="AF154">
        <v>854126.652</v>
      </c>
      <c r="AG154">
        <v>854125.89399999997</v>
      </c>
      <c r="AH154">
        <v>854125.13899999997</v>
      </c>
      <c r="AK154" s="3" t="str">
        <f ca="1">INDIRECT(ADDRESS(154,2))</f>
        <v>Solar</v>
      </c>
      <c r="AL154" s="3">
        <f ca="1">INDIRECT(ADDRESS(154,3))</f>
        <v>441453.027</v>
      </c>
      <c r="AM154" s="4">
        <f ca="1">IFERROR(INDIRECT(ADDRESS(154,3)) / INDIRECT(ADDRESS(159,3)),0)</f>
        <v>2.0148977837776769E-4</v>
      </c>
      <c r="AN154" s="3">
        <f ca="1">INDIRECT(ADDRESS(154,9))</f>
        <v>887979.98800000001</v>
      </c>
      <c r="AO154" s="4">
        <f ca="1">IFERROR(INDIRECT(ADDRESS(154,9)) / INDIRECT(ADDRESS(159,9)),0)</f>
        <v>4.3382148748441539E-4</v>
      </c>
      <c r="AP154" s="4">
        <f ca="1">IFERROR((INDIRECT(ADDRESS(154,9)) - INDIRECT(ADDRESS(154,3)))/ INDIRECT(ADDRESS(154,3)),1)</f>
        <v>1.0114937121045044</v>
      </c>
      <c r="AQ154" s="3">
        <f ca="1">INDIRECT(ADDRESS(154,14))</f>
        <v>869391.31400000001</v>
      </c>
      <c r="AR154" s="4">
        <f ca="1">IFERROR(INDIRECT(ADDRESS(154,14)) / INDIRECT(ADDRESS(159,14)),0)</f>
        <v>4.8560943043501382E-4</v>
      </c>
      <c r="AS154" s="4">
        <f ca="1">IFERROR((INDIRECT(ADDRESS(154,14)) - INDIRECT(ADDRESS(154,3)))/ INDIRECT(ADDRESS(154,3)),1)</f>
        <v>0.9693857801998943</v>
      </c>
      <c r="AT154" s="3">
        <f ca="1">INDIRECT(ADDRESS(154,19))</f>
        <v>864069.28399999999</v>
      </c>
      <c r="AU154" s="4">
        <f ca="1">IFERROR(INDIRECT(ADDRESS(154,19)) / INDIRECT(ADDRESS(159,19)),0)</f>
        <v>5.2611732758691581E-4</v>
      </c>
      <c r="AV154" s="4">
        <f ca="1">IFERROR((INDIRECT(ADDRESS(154,19)) - INDIRECT(ADDRESS(154,3)))/ INDIRECT(ADDRESS(154,3)),1)</f>
        <v>0.95733006945719723</v>
      </c>
      <c r="AW154" s="3">
        <f ca="1">INDIRECT(ADDRESS(154,24))</f>
        <v>864107.071</v>
      </c>
      <c r="AX154" s="4">
        <f ca="1">IFERROR(INDIRECT(ADDRESS(154,24)) / INDIRECT(ADDRESS(159,24)),0)</f>
        <v>5.7617790885310365E-4</v>
      </c>
      <c r="AY154" s="4">
        <f ca="1">IFERROR((INDIRECT(ADDRESS(154,24)) - INDIRECT(ADDRESS(154,3)))/ INDIRECT(ADDRESS(154,3)),1)</f>
        <v>0.95741566633317021</v>
      </c>
      <c r="AZ154" s="3">
        <f ca="1">INDIRECT(ADDRESS(154,29))</f>
        <v>854128.93599999999</v>
      </c>
      <c r="BA154" s="4">
        <f ca="1">IFERROR(INDIRECT(ADDRESS(154,29)) / INDIRECT(ADDRESS(159,29)),0)</f>
        <v>5.9420539190662867E-4</v>
      </c>
      <c r="BB154" s="4">
        <f ca="1">IFERROR((INDIRECT(ADDRESS(154,29)) - INDIRECT(ADDRESS(154,3)))/ INDIRECT(ADDRESS(154,3)),1)</f>
        <v>0.93481272923744152</v>
      </c>
      <c r="BC154" s="3">
        <f ca="1">INDIRECT(ADDRESS(154,34))</f>
        <v>854125.13899999997</v>
      </c>
      <c r="BD154" s="4">
        <f ca="1">IFERROR(INDIRECT(ADDRESS(154,34)) / INDIRECT(ADDRESS(159,34)),0)</f>
        <v>6.0390426063448106E-4</v>
      </c>
      <c r="BE154" s="4">
        <f ca="1">IFERROR((INDIRECT(ADDRESS(154,34)) - INDIRECT(ADDRESS(154,3)))/ INDIRECT(ADDRESS(154,3)),1)</f>
        <v>0.93480412809583013</v>
      </c>
    </row>
    <row r="155" spans="1:57" x14ac:dyDescent="0.25">
      <c r="A155" s="5"/>
      <c r="B155" s="1" t="s">
        <v>105</v>
      </c>
      <c r="C155">
        <v>62627730</v>
      </c>
      <c r="D155">
        <v>62679890</v>
      </c>
      <c r="E155">
        <v>62679890</v>
      </c>
      <c r="F155">
        <v>62679890</v>
      </c>
      <c r="G155">
        <v>62590250</v>
      </c>
      <c r="H155">
        <v>62498560</v>
      </c>
      <c r="I155">
        <v>63980960</v>
      </c>
      <c r="J155">
        <v>63880990</v>
      </c>
      <c r="K155">
        <v>63781020</v>
      </c>
      <c r="L155">
        <v>63681060</v>
      </c>
      <c r="M155">
        <v>63581090</v>
      </c>
      <c r="N155">
        <v>62055940</v>
      </c>
      <c r="O155">
        <v>61945410</v>
      </c>
      <c r="P155">
        <v>61834850</v>
      </c>
      <c r="Q155">
        <v>61724260</v>
      </c>
      <c r="R155">
        <v>61613620</v>
      </c>
      <c r="S155">
        <v>61502930</v>
      </c>
      <c r="T155">
        <v>61502920</v>
      </c>
      <c r="U155">
        <v>61502930</v>
      </c>
      <c r="V155">
        <v>61502920</v>
      </c>
      <c r="W155">
        <v>61502930</v>
      </c>
      <c r="X155">
        <v>61502920</v>
      </c>
      <c r="Y155">
        <v>61502930</v>
      </c>
      <c r="Z155">
        <v>61502920</v>
      </c>
      <c r="AA155">
        <v>61502930</v>
      </c>
      <c r="AB155">
        <v>61502930</v>
      </c>
      <c r="AC155">
        <v>60468110</v>
      </c>
      <c r="AD155">
        <v>60468110</v>
      </c>
      <c r="AE155">
        <v>60468120</v>
      </c>
      <c r="AF155">
        <v>60468120</v>
      </c>
      <c r="AG155">
        <v>60468110</v>
      </c>
      <c r="AH155">
        <v>60468120</v>
      </c>
      <c r="AK155" s="3" t="str">
        <f ca="1">INDIRECT(ADDRESS(155,2))</f>
        <v>Uranium</v>
      </c>
      <c r="AL155" s="3">
        <f ca="1">INDIRECT(ADDRESS(155,3))</f>
        <v>62627730</v>
      </c>
      <c r="AM155" s="4">
        <f ca="1">IFERROR(INDIRECT(ADDRESS(155,3)) / INDIRECT(ADDRESS(159,3)),0)</f>
        <v>2.8584802156091396E-2</v>
      </c>
      <c r="AN155" s="3">
        <f ca="1">INDIRECT(ADDRESS(155,9))</f>
        <v>63980960</v>
      </c>
      <c r="AO155" s="4">
        <f ca="1">IFERROR(INDIRECT(ADDRESS(155,9)) / INDIRECT(ADDRESS(159,9)),0)</f>
        <v>3.1257816181642237E-2</v>
      </c>
      <c r="AP155" s="4">
        <f ca="1">IFERROR((INDIRECT(ADDRESS(155,9)) - INDIRECT(ADDRESS(155,3)))/ INDIRECT(ADDRESS(155,3)),1)</f>
        <v>2.1607521141194165E-2</v>
      </c>
      <c r="AQ155" s="3">
        <f ca="1">INDIRECT(ADDRESS(155,14))</f>
        <v>62055940</v>
      </c>
      <c r="AR155" s="4">
        <f ca="1">IFERROR(INDIRECT(ADDRESS(155,14)) / INDIRECT(ADDRESS(159,14)),0)</f>
        <v>3.4662124170370297E-2</v>
      </c>
      <c r="AS155" s="4">
        <f ca="1">IFERROR((INDIRECT(ADDRESS(155,14)) - INDIRECT(ADDRESS(155,3)))/ INDIRECT(ADDRESS(155,3)),1)</f>
        <v>-9.1299812399395601E-3</v>
      </c>
      <c r="AT155" s="3">
        <f ca="1">INDIRECT(ADDRESS(155,19))</f>
        <v>61502930</v>
      </c>
      <c r="AU155" s="4">
        <f ca="1">IFERROR(INDIRECT(ADDRESS(155,19)) / INDIRECT(ADDRESS(159,19)),0)</f>
        <v>3.7448104879475329E-2</v>
      </c>
      <c r="AV155" s="4">
        <f ca="1">IFERROR((INDIRECT(ADDRESS(155,19)) - INDIRECT(ADDRESS(155,3)))/ INDIRECT(ADDRESS(155,3)),1)</f>
        <v>-1.7960095312411928E-2</v>
      </c>
      <c r="AW155" s="3">
        <f ca="1">INDIRECT(ADDRESS(155,24))</f>
        <v>61502920</v>
      </c>
      <c r="AX155" s="4">
        <f ca="1">IFERROR(INDIRECT(ADDRESS(155,24)) / INDIRECT(ADDRESS(159,24)),0)</f>
        <v>4.1009528822568475E-2</v>
      </c>
      <c r="AY155" s="4">
        <f ca="1">IFERROR((INDIRECT(ADDRESS(155,24)) - INDIRECT(ADDRESS(155,3)))/ INDIRECT(ADDRESS(155,3)),1)</f>
        <v>-1.7960254986090027E-2</v>
      </c>
      <c r="AZ155" s="3">
        <f ca="1">INDIRECT(ADDRESS(155,29))</f>
        <v>60468110</v>
      </c>
      <c r="BA155" s="4">
        <f ca="1">IFERROR(INDIRECT(ADDRESS(155,29)) / INDIRECT(ADDRESS(159,29)),0)</f>
        <v>4.2066806878912635E-2</v>
      </c>
      <c r="BB155" s="4">
        <f ca="1">IFERROR((INDIRECT(ADDRESS(155,29)) - INDIRECT(ADDRESS(155,3)))/ INDIRECT(ADDRESS(155,3)),1)</f>
        <v>-3.4483446869302145E-2</v>
      </c>
      <c r="BC155" s="3">
        <f ca="1">INDIRECT(ADDRESS(155,34))</f>
        <v>60468120</v>
      </c>
      <c r="BD155" s="4">
        <f ca="1">IFERROR(INDIRECT(ADDRESS(155,34)) / INDIRECT(ADDRESS(159,34)),0)</f>
        <v>4.2753636010890293E-2</v>
      </c>
      <c r="BE155" s="4">
        <f ca="1">IFERROR((INDIRECT(ADDRESS(155,34)) - INDIRECT(ADDRESS(155,3)))/ INDIRECT(ADDRESS(155,3)),1)</f>
        <v>-3.4483287195624046E-2</v>
      </c>
    </row>
    <row r="156" spans="1:57" x14ac:dyDescent="0.25">
      <c r="A156" s="5"/>
      <c r="B156" s="1" t="s">
        <v>106</v>
      </c>
      <c r="C156">
        <v>363857100</v>
      </c>
      <c r="D156">
        <v>364100300</v>
      </c>
      <c r="E156">
        <v>364100300</v>
      </c>
      <c r="F156">
        <v>364100300</v>
      </c>
      <c r="G156">
        <v>363527800</v>
      </c>
      <c r="H156">
        <v>362942200</v>
      </c>
      <c r="I156">
        <v>373014400</v>
      </c>
      <c r="J156">
        <v>372375800</v>
      </c>
      <c r="K156">
        <v>371737300</v>
      </c>
      <c r="L156">
        <v>371098900</v>
      </c>
      <c r="M156">
        <v>370460400</v>
      </c>
      <c r="N156">
        <v>355680600</v>
      </c>
      <c r="O156">
        <v>354974600</v>
      </c>
      <c r="P156">
        <v>354268500</v>
      </c>
      <c r="Q156">
        <v>353562100</v>
      </c>
      <c r="R156">
        <v>352855500</v>
      </c>
      <c r="S156">
        <v>352148500</v>
      </c>
      <c r="T156">
        <v>352148400</v>
      </c>
      <c r="U156">
        <v>352148500</v>
      </c>
      <c r="V156">
        <v>352148400</v>
      </c>
      <c r="W156">
        <v>352148500</v>
      </c>
      <c r="X156">
        <v>352148400</v>
      </c>
      <c r="Y156">
        <v>352148500</v>
      </c>
      <c r="Z156">
        <v>352148400</v>
      </c>
      <c r="AA156">
        <v>352148500</v>
      </c>
      <c r="AB156">
        <v>352148500</v>
      </c>
      <c r="AC156">
        <v>344097400</v>
      </c>
      <c r="AD156">
        <v>344097400</v>
      </c>
      <c r="AE156">
        <v>344097500</v>
      </c>
      <c r="AF156">
        <v>344097400</v>
      </c>
      <c r="AG156">
        <v>344097400</v>
      </c>
      <c r="AH156">
        <v>344097500</v>
      </c>
      <c r="AK156" s="3" t="str">
        <f ca="1">INDIRECT(ADDRESS(156,2))</f>
        <v>Water</v>
      </c>
      <c r="AL156" s="3">
        <f ca="1">INDIRECT(ADDRESS(156,3))</f>
        <v>363857100</v>
      </c>
      <c r="AM156" s="4">
        <f ca="1">IFERROR(INDIRECT(ADDRESS(156,3)) / INDIRECT(ADDRESS(159,3)),0)</f>
        <v>0.16607313112880129</v>
      </c>
      <c r="AN156" s="3">
        <f ca="1">INDIRECT(ADDRESS(156,9))</f>
        <v>373014400</v>
      </c>
      <c r="AO156" s="4">
        <f ca="1">IFERROR(INDIRECT(ADDRESS(156,9)) / INDIRECT(ADDRESS(159,9)),0)</f>
        <v>0.182235708065424</v>
      </c>
      <c r="AP156" s="4">
        <f ca="1">IFERROR((INDIRECT(ADDRESS(156,9)) - INDIRECT(ADDRESS(156,3)))/ INDIRECT(ADDRESS(156,3)),1)</f>
        <v>2.5167297821040182E-2</v>
      </c>
      <c r="AQ156" s="3">
        <f ca="1">INDIRECT(ADDRESS(156,14))</f>
        <v>355680600</v>
      </c>
      <c r="AR156" s="4">
        <f ca="1">IFERROR(INDIRECT(ADDRESS(156,14)) / INDIRECT(ADDRESS(159,14)),0)</f>
        <v>0.19866986338764361</v>
      </c>
      <c r="AS156" s="4">
        <f ca="1">IFERROR((INDIRECT(ADDRESS(156,14)) - INDIRECT(ADDRESS(156,3)))/ INDIRECT(ADDRESS(156,3)),1)</f>
        <v>-2.2471734095610613E-2</v>
      </c>
      <c r="AT156" s="3">
        <f ca="1">INDIRECT(ADDRESS(156,19))</f>
        <v>352148500</v>
      </c>
      <c r="AU156" s="4">
        <f ca="1">IFERROR(INDIRECT(ADDRESS(156,19)) / INDIRECT(ADDRESS(159,19)),0)</f>
        <v>0.21441732875409217</v>
      </c>
      <c r="AV156" s="4">
        <f ca="1">IFERROR((INDIRECT(ADDRESS(156,19)) - INDIRECT(ADDRESS(156,3)))/ INDIRECT(ADDRESS(156,3)),1)</f>
        <v>-3.2179116471823692E-2</v>
      </c>
      <c r="AW156" s="3">
        <f ca="1">INDIRECT(ADDRESS(156,24))</f>
        <v>352148400</v>
      </c>
      <c r="AX156" s="4">
        <f ca="1">IFERROR(INDIRECT(ADDRESS(156,24)) / INDIRECT(ADDRESS(159,24)),0)</f>
        <v>0.23480901328947265</v>
      </c>
      <c r="AY156" s="4">
        <f ca="1">IFERROR((INDIRECT(ADDRESS(156,24)) - INDIRECT(ADDRESS(156,3)))/ INDIRECT(ADDRESS(156,3)),1)</f>
        <v>-3.2179391304993088E-2</v>
      </c>
      <c r="AZ156" s="3">
        <f ca="1">INDIRECT(ADDRESS(156,29))</f>
        <v>344097400</v>
      </c>
      <c r="BA156" s="4">
        <f ca="1">IFERROR(INDIRECT(ADDRESS(156,29)) / INDIRECT(ADDRESS(159,29)),0)</f>
        <v>0.23938368295843798</v>
      </c>
      <c r="BB156" s="4">
        <f ca="1">IFERROR((INDIRECT(ADDRESS(156,29)) - INDIRECT(ADDRESS(156,3)))/ INDIRECT(ADDRESS(156,3)),1)</f>
        <v>-5.4306209773012537E-2</v>
      </c>
      <c r="BC156" s="3">
        <f ca="1">INDIRECT(ADDRESS(156,34))</f>
        <v>344097500</v>
      </c>
      <c r="BD156" s="4">
        <f ca="1">IFERROR(INDIRECT(ADDRESS(156,34)) / INDIRECT(ADDRESS(159,34)),0)</f>
        <v>0.24329215572201224</v>
      </c>
      <c r="BE156" s="4">
        <f ca="1">IFERROR((INDIRECT(ADDRESS(156,34)) - INDIRECT(ADDRESS(156,3)))/ INDIRECT(ADDRESS(156,3)),1)</f>
        <v>-5.4305934939843141E-2</v>
      </c>
    </row>
    <row r="157" spans="1:57" x14ac:dyDescent="0.25">
      <c r="A157" s="5"/>
      <c r="B157" s="1" t="s">
        <v>107</v>
      </c>
      <c r="C157">
        <v>43192630</v>
      </c>
      <c r="D157">
        <v>42283730</v>
      </c>
      <c r="E157">
        <v>42283730</v>
      </c>
      <c r="F157">
        <v>42283730</v>
      </c>
      <c r="G157">
        <v>42226170</v>
      </c>
      <c r="H157">
        <v>42167280</v>
      </c>
      <c r="I157">
        <v>43119340</v>
      </c>
      <c r="J157">
        <v>43055130</v>
      </c>
      <c r="K157">
        <v>42990930</v>
      </c>
      <c r="L157">
        <v>42926730</v>
      </c>
      <c r="M157">
        <v>42862520</v>
      </c>
      <c r="N157">
        <v>44625130</v>
      </c>
      <c r="O157">
        <v>44554150</v>
      </c>
      <c r="P157">
        <v>44483140</v>
      </c>
      <c r="Q157">
        <v>44412110</v>
      </c>
      <c r="R157">
        <v>44341060</v>
      </c>
      <c r="S157">
        <v>44269960</v>
      </c>
      <c r="T157">
        <v>44269960</v>
      </c>
      <c r="U157">
        <v>44269960</v>
      </c>
      <c r="V157">
        <v>44269960</v>
      </c>
      <c r="W157">
        <v>44269960</v>
      </c>
      <c r="X157">
        <v>44269960</v>
      </c>
      <c r="Y157">
        <v>44269960</v>
      </c>
      <c r="Z157">
        <v>44269960</v>
      </c>
      <c r="AA157">
        <v>44269960</v>
      </c>
      <c r="AB157">
        <v>44269960</v>
      </c>
      <c r="AC157">
        <v>44510120</v>
      </c>
      <c r="AD157">
        <v>44510120</v>
      </c>
      <c r="AE157">
        <v>44510130</v>
      </c>
      <c r="AF157">
        <v>44510120</v>
      </c>
      <c r="AG157">
        <v>44510120</v>
      </c>
      <c r="AH157">
        <v>44510130</v>
      </c>
      <c r="AK157" s="3" t="str">
        <f ca="1">INDIRECT(ADDRESS(157,2))</f>
        <v>Wind</v>
      </c>
      <c r="AL157" s="3">
        <f ca="1">INDIRECT(ADDRESS(157,3))</f>
        <v>43192630</v>
      </c>
      <c r="AM157" s="4">
        <f ca="1">IFERROR(INDIRECT(ADDRESS(157,3)) / INDIRECT(ADDRESS(159,3)),0)</f>
        <v>1.9714155105913275E-2</v>
      </c>
      <c r="AN157" s="3">
        <f ca="1">INDIRECT(ADDRESS(157,9))</f>
        <v>43119340</v>
      </c>
      <c r="AO157" s="4">
        <f ca="1">IFERROR(INDIRECT(ADDRESS(157,9)) / INDIRECT(ADDRESS(159,9)),0)</f>
        <v>2.1065898410929335E-2</v>
      </c>
      <c r="AP157" s="4">
        <f ca="1">IFERROR((INDIRECT(ADDRESS(157,9)) - INDIRECT(ADDRESS(157,3)))/ INDIRECT(ADDRESS(157,3)),1)</f>
        <v>-1.6968172579442374E-3</v>
      </c>
      <c r="AQ157" s="3">
        <f ca="1">INDIRECT(ADDRESS(157,14))</f>
        <v>44625130</v>
      </c>
      <c r="AR157" s="4">
        <f ca="1">IFERROR(INDIRECT(ADDRESS(157,14)) / INDIRECT(ADDRESS(159,14)),0)</f>
        <v>2.4925926465362003E-2</v>
      </c>
      <c r="AS157" s="4">
        <f ca="1">IFERROR((INDIRECT(ADDRESS(157,14)) - INDIRECT(ADDRESS(157,3)))/ INDIRECT(ADDRESS(157,3)),1)</f>
        <v>3.3165380297518351E-2</v>
      </c>
      <c r="AT157" s="3">
        <f ca="1">INDIRECT(ADDRESS(157,19))</f>
        <v>44269960</v>
      </c>
      <c r="AU157" s="4">
        <f ca="1">IFERROR(INDIRECT(ADDRESS(157,19)) / INDIRECT(ADDRESS(159,19)),0)</f>
        <v>2.6955237825095124E-2</v>
      </c>
      <c r="AV157" s="4">
        <f ca="1">IFERROR((INDIRECT(ADDRESS(157,19)) - INDIRECT(ADDRESS(157,3)))/ INDIRECT(ADDRESS(157,3)),1)</f>
        <v>2.4942449672548304E-2</v>
      </c>
      <c r="AW157" s="3">
        <f ca="1">INDIRECT(ADDRESS(157,24))</f>
        <v>44269960</v>
      </c>
      <c r="AX157" s="4">
        <f ca="1">IFERROR(INDIRECT(ADDRESS(157,24)) / INDIRECT(ADDRESS(159,24)),0)</f>
        <v>2.951876432198591E-2</v>
      </c>
      <c r="AY157" s="4">
        <f ca="1">IFERROR((INDIRECT(ADDRESS(157,24)) - INDIRECT(ADDRESS(157,3)))/ INDIRECT(ADDRESS(157,3)),1)</f>
        <v>2.4942449672548304E-2</v>
      </c>
      <c r="AZ157" s="3">
        <f ca="1">INDIRECT(ADDRESS(157,29))</f>
        <v>44510120</v>
      </c>
      <c r="BA157" s="4">
        <f ca="1">IFERROR(INDIRECT(ADDRESS(157,29)) / INDIRECT(ADDRESS(159,29)),0)</f>
        <v>3.0965059470144295E-2</v>
      </c>
      <c r="BB157" s="4">
        <f ca="1">IFERROR((INDIRECT(ADDRESS(157,29)) - INDIRECT(ADDRESS(157,3)))/ INDIRECT(ADDRESS(157,3)),1)</f>
        <v>3.0502657513561921E-2</v>
      </c>
      <c r="BC157" s="3">
        <f ca="1">INDIRECT(ADDRESS(157,34))</f>
        <v>44510130</v>
      </c>
      <c r="BD157" s="4">
        <f ca="1">IFERROR(INDIRECT(ADDRESS(157,34)) / INDIRECT(ADDRESS(159,34)),0)</f>
        <v>3.1470631083245326E-2</v>
      </c>
      <c r="BE157" s="4">
        <f ca="1">IFERROR((INDIRECT(ADDRESS(157,34)) - INDIRECT(ADDRESS(157,3)))/ INDIRECT(ADDRESS(157,3)),1)</f>
        <v>3.0502889034541309E-2</v>
      </c>
    </row>
    <row r="158" spans="1:57" x14ac:dyDescent="0.25">
      <c r="A158" s="5"/>
      <c r="B158" s="1" t="s">
        <v>51</v>
      </c>
      <c r="C158">
        <v>125996294</v>
      </c>
      <c r="D158">
        <v>126012723</v>
      </c>
      <c r="E158">
        <v>125922658</v>
      </c>
      <c r="F158">
        <v>125802599</v>
      </c>
      <c r="G158">
        <v>125552561</v>
      </c>
      <c r="H158">
        <v>125248075</v>
      </c>
      <c r="I158">
        <v>124471713</v>
      </c>
      <c r="J158">
        <v>122691521</v>
      </c>
      <c r="K158">
        <v>120926834</v>
      </c>
      <c r="L158">
        <v>119160779</v>
      </c>
      <c r="M158">
        <v>117375847</v>
      </c>
      <c r="N158">
        <v>114313642</v>
      </c>
      <c r="O158">
        <v>112555471</v>
      </c>
      <c r="P158">
        <v>110835981</v>
      </c>
      <c r="Q158">
        <v>109177967</v>
      </c>
      <c r="R158">
        <v>107598746</v>
      </c>
      <c r="S158">
        <v>106109140</v>
      </c>
      <c r="T158">
        <v>104834980.59999999</v>
      </c>
      <c r="U158">
        <v>103653122.3</v>
      </c>
      <c r="V158">
        <v>102556496.09999999</v>
      </c>
      <c r="W158">
        <v>101534856.7</v>
      </c>
      <c r="X158">
        <v>100575185.5</v>
      </c>
      <c r="Y158">
        <v>99621801.799999997</v>
      </c>
      <c r="Z158">
        <v>98707968.030000001</v>
      </c>
      <c r="AA158">
        <v>97826363.730000004</v>
      </c>
      <c r="AB158">
        <v>96972584.359999999</v>
      </c>
      <c r="AC158">
        <v>95387674.319999993</v>
      </c>
      <c r="AD158">
        <v>94543181.370000005</v>
      </c>
      <c r="AE158">
        <v>93719477.049999997</v>
      </c>
      <c r="AF158">
        <v>92915438.340000004</v>
      </c>
      <c r="AG158">
        <v>92130116.870000005</v>
      </c>
      <c r="AH158">
        <v>91362855.420000002</v>
      </c>
      <c r="AK158" s="3" t="str">
        <f ca="1">INDIRECT(ADDRESS(158,2))</f>
        <v>Wood</v>
      </c>
      <c r="AL158" s="3">
        <f ca="1">INDIRECT(ADDRESS(158,3))</f>
        <v>125996294</v>
      </c>
      <c r="AM158" s="4">
        <f ca="1">IFERROR(INDIRECT(ADDRESS(158,3)) / INDIRECT(ADDRESS(159,3)),0)</f>
        <v>5.7507738766688903E-2</v>
      </c>
      <c r="AN158" s="3">
        <f ca="1">INDIRECT(ADDRESS(158,9))</f>
        <v>124471713</v>
      </c>
      <c r="AO158" s="4">
        <f ca="1">IFERROR(INDIRECT(ADDRESS(158,9)) / INDIRECT(ADDRESS(159,9)),0)</f>
        <v>6.0810496197120652E-2</v>
      </c>
      <c r="AP158" s="4">
        <f ca="1">IFERROR((INDIRECT(ADDRESS(158,9)) - INDIRECT(ADDRESS(158,3)))/ INDIRECT(ADDRESS(158,3)),1)</f>
        <v>-1.2100205106032722E-2</v>
      </c>
      <c r="AQ158" s="3">
        <f ca="1">INDIRECT(ADDRESS(158,14))</f>
        <v>114313642</v>
      </c>
      <c r="AR158" s="4">
        <f ca="1">IFERROR(INDIRECT(ADDRESS(158,14)) / INDIRECT(ADDRESS(159,14)),0)</f>
        <v>6.3851319525113262E-2</v>
      </c>
      <c r="AS158" s="4">
        <f ca="1">IFERROR((INDIRECT(ADDRESS(158,14)) - INDIRECT(ADDRESS(158,3)))/ INDIRECT(ADDRESS(158,3)),1)</f>
        <v>-9.2722187527198227E-2</v>
      </c>
      <c r="AT158" s="3">
        <f ca="1">INDIRECT(ADDRESS(158,19))</f>
        <v>106109140</v>
      </c>
      <c r="AU158" s="4">
        <f ca="1">IFERROR(INDIRECT(ADDRESS(158,19)) / INDIRECT(ADDRESS(159,19)),0)</f>
        <v>6.4608079702721977E-2</v>
      </c>
      <c r="AV158" s="4">
        <f ca="1">IFERROR((INDIRECT(ADDRESS(158,19)) - INDIRECT(ADDRESS(158,3)))/ INDIRECT(ADDRESS(158,3)),1)</f>
        <v>-0.15783919803228499</v>
      </c>
      <c r="AW158" s="3">
        <f ca="1">INDIRECT(ADDRESS(158,24))</f>
        <v>100575185.5</v>
      </c>
      <c r="AX158" s="4">
        <f ca="1">IFERROR(INDIRECT(ADDRESS(158,24)) / INDIRECT(ADDRESS(159,24)),0)</f>
        <v>6.7062522699693303E-2</v>
      </c>
      <c r="AY158" s="4">
        <f ca="1">IFERROR((INDIRECT(ADDRESS(158,24)) - INDIRECT(ADDRESS(158,3)))/ INDIRECT(ADDRESS(158,3)),1)</f>
        <v>-0.2017607636935734</v>
      </c>
      <c r="AZ158" s="3">
        <f ca="1">INDIRECT(ADDRESS(158,29))</f>
        <v>95387674.319999993</v>
      </c>
      <c r="BA158" s="4">
        <f ca="1">IFERROR(INDIRECT(ADDRESS(158,29)) / INDIRECT(ADDRESS(159,29)),0)</f>
        <v>6.6359852726471102E-2</v>
      </c>
      <c r="BB158" s="4">
        <f ca="1">IFERROR((INDIRECT(ADDRESS(158,29)) - INDIRECT(ADDRESS(158,3)))/ INDIRECT(ADDRESS(158,3)),1)</f>
        <v>-0.24293269832206341</v>
      </c>
      <c r="BC158" s="3">
        <f ca="1">INDIRECT(ADDRESS(158,34))</f>
        <v>91362855.420000002</v>
      </c>
      <c r="BD158" s="4">
        <f ca="1">IFERROR(INDIRECT(ADDRESS(158,34)) / INDIRECT(ADDRESS(159,34)),0)</f>
        <v>6.4597580767225368E-2</v>
      </c>
      <c r="BE158" s="4">
        <f ca="1">IFERROR((INDIRECT(ADDRESS(158,34)) - INDIRECT(ADDRESS(158,3)))/ INDIRECT(ADDRESS(158,3)),1)</f>
        <v>-0.2748766450225909</v>
      </c>
    </row>
    <row r="159" spans="1:57" x14ac:dyDescent="0.25">
      <c r="A159" s="1" t="s">
        <v>21</v>
      </c>
      <c r="B159" s="1"/>
      <c r="C159">
        <v>2190945022.3937998</v>
      </c>
      <c r="D159">
        <v>2181013091.4938002</v>
      </c>
      <c r="E159">
        <v>2168649074.6283998</v>
      </c>
      <c r="F159">
        <v>2159616601.4717999</v>
      </c>
      <c r="G159">
        <v>2148245068.49615</v>
      </c>
      <c r="H159">
        <v>2127575738.8919001</v>
      </c>
      <c r="I159">
        <v>2046878759.1622</v>
      </c>
      <c r="J159">
        <v>2014504207.2439001</v>
      </c>
      <c r="K159">
        <v>1980060274.7228</v>
      </c>
      <c r="L159">
        <v>1944509010.6858001</v>
      </c>
      <c r="M159">
        <v>1906365944.5527999</v>
      </c>
      <c r="N159">
        <v>1790309782.9488001</v>
      </c>
      <c r="O159">
        <v>1759573942.6503</v>
      </c>
      <c r="P159">
        <v>1730433772.3900001</v>
      </c>
      <c r="Q159">
        <v>1701671982.5610001</v>
      </c>
      <c r="R159">
        <v>1669334474.4214499</v>
      </c>
      <c r="S159">
        <v>1642350933.3234301</v>
      </c>
      <c r="T159">
        <v>1614208303.0134101</v>
      </c>
      <c r="U159">
        <v>1585373387.97173</v>
      </c>
      <c r="V159">
        <v>1556266161.3201699</v>
      </c>
      <c r="W159">
        <v>1527057278.5388501</v>
      </c>
      <c r="X159">
        <v>1499722668.5070701</v>
      </c>
      <c r="Y159">
        <v>1488467833.464505</v>
      </c>
      <c r="Z159">
        <v>1479269293.2331009</v>
      </c>
      <c r="AA159">
        <v>1471075469.214313</v>
      </c>
      <c r="AB159">
        <v>1463546693.80302</v>
      </c>
      <c r="AC159">
        <v>1437430470.395689</v>
      </c>
      <c r="AD159">
        <v>1431771092.156661</v>
      </c>
      <c r="AE159">
        <v>1426701542.957567</v>
      </c>
      <c r="AF159">
        <v>1422129508.153791</v>
      </c>
      <c r="AG159">
        <v>1417470998.425509</v>
      </c>
      <c r="AH159">
        <v>1414338653.783679</v>
      </c>
    </row>
    <row r="160" spans="1:57" x14ac:dyDescent="0.25">
      <c r="A160" s="5" t="s">
        <v>3</v>
      </c>
      <c r="B160" s="1" t="s">
        <v>100</v>
      </c>
      <c r="C160">
        <v>52357190</v>
      </c>
      <c r="D160">
        <v>52357190</v>
      </c>
      <c r="E160">
        <v>52357190</v>
      </c>
      <c r="F160">
        <v>52357190</v>
      </c>
      <c r="G160">
        <v>52357190</v>
      </c>
      <c r="H160">
        <v>52357190</v>
      </c>
      <c r="I160">
        <v>52357190</v>
      </c>
      <c r="J160">
        <v>52357190</v>
      </c>
      <c r="K160">
        <v>52357190</v>
      </c>
      <c r="L160">
        <v>52357190</v>
      </c>
      <c r="M160">
        <v>52357190</v>
      </c>
      <c r="N160">
        <v>52357190</v>
      </c>
      <c r="O160">
        <v>52357190</v>
      </c>
      <c r="P160">
        <v>52357190</v>
      </c>
      <c r="Q160">
        <v>52357190</v>
      </c>
      <c r="R160">
        <v>52357190</v>
      </c>
      <c r="S160">
        <v>52357190</v>
      </c>
      <c r="T160">
        <v>52357190</v>
      </c>
      <c r="U160">
        <v>52357190</v>
      </c>
      <c r="V160">
        <v>52357190</v>
      </c>
      <c r="W160">
        <v>52357190</v>
      </c>
      <c r="X160">
        <v>52357190</v>
      </c>
      <c r="Y160">
        <v>52357190</v>
      </c>
      <c r="Z160">
        <v>52357190</v>
      </c>
      <c r="AA160">
        <v>52357190</v>
      </c>
      <c r="AB160">
        <v>52357190</v>
      </c>
      <c r="AC160">
        <v>52357190</v>
      </c>
      <c r="AD160">
        <v>52357190</v>
      </c>
      <c r="AE160">
        <v>52357190</v>
      </c>
      <c r="AF160">
        <v>52357190</v>
      </c>
      <c r="AG160">
        <v>52357190</v>
      </c>
      <c r="AH160">
        <v>52357190</v>
      </c>
      <c r="AK160" s="3" t="str">
        <f ca="1">INDIRECT(ADDRESS(160,2))</f>
        <v>Chp</v>
      </c>
      <c r="AL160" s="3">
        <f ca="1">INDIRECT(ADDRESS(160,3))</f>
        <v>52357190</v>
      </c>
      <c r="AM160" s="4">
        <f ca="1">IFERROR(INDIRECT(ADDRESS(160,3)) / INDIRECT(ADDRESS(178,3)),0)</f>
        <v>2.389708069570599E-2</v>
      </c>
      <c r="AN160" s="3">
        <f ca="1">INDIRECT(ADDRESS(160,9))</f>
        <v>52357190</v>
      </c>
      <c r="AO160" s="4">
        <f ca="1">IFERROR(INDIRECT(ADDRESS(160,9)) / INDIRECT(ADDRESS(178,9)),0)</f>
        <v>2.503274221952663E-2</v>
      </c>
      <c r="AP160" s="4">
        <f ca="1">IFERROR((INDIRECT(ADDRESS(160,9)) - INDIRECT(ADDRESS(160,3)))/ INDIRECT(ADDRESS(160,3)),1)</f>
        <v>0</v>
      </c>
      <c r="AQ160" s="3">
        <f ca="1">INDIRECT(ADDRESS(160,14))</f>
        <v>52357190</v>
      </c>
      <c r="AR160" s="4">
        <f ca="1">IFERROR(INDIRECT(ADDRESS(160,14)) / INDIRECT(ADDRESS(178,14)),0)</f>
        <v>2.7444940783450028E-2</v>
      </c>
      <c r="AS160" s="4">
        <f ca="1">IFERROR((INDIRECT(ADDRESS(160,14)) - INDIRECT(ADDRESS(160,3)))/ INDIRECT(ADDRESS(160,3)),1)</f>
        <v>0</v>
      </c>
      <c r="AT160" s="3">
        <f ca="1">INDIRECT(ADDRESS(160,19))</f>
        <v>52357190</v>
      </c>
      <c r="AU160" s="4">
        <f ca="1">IFERROR(INDIRECT(ADDRESS(160,19)) / INDIRECT(ADDRESS(178,19)),0)</f>
        <v>2.8454051022477295E-2</v>
      </c>
      <c r="AV160" s="4">
        <f ca="1">IFERROR((INDIRECT(ADDRESS(160,19)) - INDIRECT(ADDRESS(160,3)))/ INDIRECT(ADDRESS(160,3)),1)</f>
        <v>0</v>
      </c>
      <c r="AW160" s="3">
        <f ca="1">INDIRECT(ADDRESS(160,24))</f>
        <v>52357190</v>
      </c>
      <c r="AX160" s="4">
        <f ca="1">IFERROR(INDIRECT(ADDRESS(160,24)) / INDIRECT(ADDRESS(178,24)),0)</f>
        <v>2.944056816363105E-2</v>
      </c>
      <c r="AY160" s="4">
        <f ca="1">IFERROR((INDIRECT(ADDRESS(160,24)) - INDIRECT(ADDRESS(160,3)))/ INDIRECT(ADDRESS(160,3)),1)</f>
        <v>0</v>
      </c>
      <c r="AZ160" s="3">
        <f ca="1">INDIRECT(ADDRESS(160,29))</f>
        <v>52357190</v>
      </c>
      <c r="BA160" s="4">
        <f ca="1">IFERROR(INDIRECT(ADDRESS(160,29)) / INDIRECT(ADDRESS(178,29)),0)</f>
        <v>3.066421544096485E-2</v>
      </c>
      <c r="BB160" s="4">
        <f ca="1">IFERROR((INDIRECT(ADDRESS(160,29)) - INDIRECT(ADDRESS(160,3)))/ INDIRECT(ADDRESS(160,3)),1)</f>
        <v>0</v>
      </c>
      <c r="BC160" s="3">
        <f ca="1">INDIRECT(ADDRESS(160,34))</f>
        <v>52357190</v>
      </c>
      <c r="BD160" s="4">
        <f ca="1">IFERROR(INDIRECT(ADDRESS(160,34)) / INDIRECT(ADDRESS(178,34)),0)</f>
        <v>3.1239452298893477E-2</v>
      </c>
      <c r="BE160" s="4">
        <f ca="1">IFERROR((INDIRECT(ADDRESS(160,34)) - INDIRECT(ADDRESS(160,3)))/ INDIRECT(ADDRESS(160,3)),1)</f>
        <v>0</v>
      </c>
    </row>
    <row r="161" spans="1:57" x14ac:dyDescent="0.25">
      <c r="A161" s="5"/>
      <c r="B161" s="1" t="s">
        <v>40</v>
      </c>
      <c r="C161">
        <v>67364420</v>
      </c>
      <c r="D161">
        <v>66743197</v>
      </c>
      <c r="E161">
        <v>66743197</v>
      </c>
      <c r="F161">
        <v>66743197</v>
      </c>
      <c r="G161">
        <v>66743197</v>
      </c>
      <c r="H161">
        <v>66743197</v>
      </c>
      <c r="I161">
        <v>4843626</v>
      </c>
      <c r="J161">
        <v>4844461</v>
      </c>
      <c r="K161">
        <v>4845297</v>
      </c>
      <c r="L161">
        <v>4846132</v>
      </c>
      <c r="M161">
        <v>4846967</v>
      </c>
      <c r="N161">
        <v>4826794</v>
      </c>
      <c r="O161">
        <v>4828743</v>
      </c>
      <c r="P161">
        <v>4830692</v>
      </c>
      <c r="Q161">
        <v>4832642</v>
      </c>
      <c r="R161">
        <v>4834591</v>
      </c>
      <c r="S161">
        <v>4836540</v>
      </c>
      <c r="T161">
        <v>4839673</v>
      </c>
      <c r="U161">
        <v>4842805</v>
      </c>
      <c r="V161">
        <v>4845938</v>
      </c>
      <c r="W161">
        <v>4849071</v>
      </c>
      <c r="X161">
        <v>4852203</v>
      </c>
      <c r="Y161">
        <v>4853909</v>
      </c>
      <c r="Z161">
        <v>4855615</v>
      </c>
      <c r="AA161">
        <v>4857320</v>
      </c>
      <c r="AB161">
        <v>4859026</v>
      </c>
      <c r="AC161">
        <v>4845128</v>
      </c>
      <c r="AD161">
        <v>4845790</v>
      </c>
      <c r="AE161">
        <v>4846451</v>
      </c>
      <c r="AF161">
        <v>4847112</v>
      </c>
      <c r="AG161">
        <v>4847774</v>
      </c>
      <c r="AH161">
        <v>4848435</v>
      </c>
      <c r="AK161" s="3" t="str">
        <f ca="1">INDIRECT(ADDRESS(161,2))</f>
        <v>Coal</v>
      </c>
      <c r="AL161" s="3">
        <f ca="1">INDIRECT(ADDRESS(161,3))</f>
        <v>67364420</v>
      </c>
      <c r="AM161" s="4">
        <f ca="1">IFERROR(INDIRECT(ADDRESS(161,3)) / INDIRECT(ADDRESS(178,3)),0)</f>
        <v>3.0746741388516657E-2</v>
      </c>
      <c r="AN161" s="3">
        <f ca="1">INDIRECT(ADDRESS(161,9))</f>
        <v>4843626</v>
      </c>
      <c r="AO161" s="4">
        <f ca="1">IFERROR(INDIRECT(ADDRESS(161,9)) / INDIRECT(ADDRESS(178,9)),0)</f>
        <v>2.3158087946621446E-3</v>
      </c>
      <c r="AP161" s="4">
        <f ca="1">IFERROR((INDIRECT(ADDRESS(161,9)) - INDIRECT(ADDRESS(161,3)))/ INDIRECT(ADDRESS(161,3)),1)</f>
        <v>-0.92809815626706205</v>
      </c>
      <c r="AQ161" s="3">
        <f ca="1">INDIRECT(ADDRESS(161,14))</f>
        <v>4826794</v>
      </c>
      <c r="AR161" s="4">
        <f ca="1">IFERROR(INDIRECT(ADDRESS(161,14)) / INDIRECT(ADDRESS(178,14)),0)</f>
        <v>2.5301410466052878E-3</v>
      </c>
      <c r="AS161" s="4">
        <f ca="1">IFERROR((INDIRECT(ADDRESS(161,14)) - INDIRECT(ADDRESS(161,3)))/ INDIRECT(ADDRESS(161,3)),1)</f>
        <v>-0.92834802110669101</v>
      </c>
      <c r="AT161" s="3">
        <f ca="1">INDIRECT(ADDRESS(161,19))</f>
        <v>4836540</v>
      </c>
      <c r="AU161" s="4">
        <f ca="1">IFERROR(INDIRECT(ADDRESS(161,19)) / INDIRECT(ADDRESS(178,19)),0)</f>
        <v>2.6284671872621951E-3</v>
      </c>
      <c r="AV161" s="4">
        <f ca="1">IFERROR((INDIRECT(ADDRESS(161,19)) - INDIRECT(ADDRESS(161,3)))/ INDIRECT(ADDRESS(161,3)),1)</f>
        <v>-0.92820334532680604</v>
      </c>
      <c r="AW161" s="3">
        <f ca="1">INDIRECT(ADDRESS(161,24))</f>
        <v>4852203</v>
      </c>
      <c r="AX161" s="4">
        <f ca="1">IFERROR(INDIRECT(ADDRESS(161,24)) / INDIRECT(ADDRESS(178,24)),0)</f>
        <v>2.7284048889039897E-3</v>
      </c>
      <c r="AY161" s="4">
        <f ca="1">IFERROR((INDIRECT(ADDRESS(161,24)) - INDIRECT(ADDRESS(161,3)))/ INDIRECT(ADDRESS(161,3)),1)</f>
        <v>-0.92797083386155477</v>
      </c>
      <c r="AZ161" s="3">
        <f ca="1">INDIRECT(ADDRESS(161,29))</f>
        <v>4845128</v>
      </c>
      <c r="BA161" s="4">
        <f ca="1">IFERROR(INDIRECT(ADDRESS(161,29)) / INDIRECT(ADDRESS(178,29)),0)</f>
        <v>2.8376627705010743E-3</v>
      </c>
      <c r="BB161" s="4">
        <f ca="1">IFERROR((INDIRECT(ADDRESS(161,29)) - INDIRECT(ADDRESS(161,3)))/ INDIRECT(ADDRESS(161,3)),1)</f>
        <v>-0.92807585963035089</v>
      </c>
      <c r="BC161" s="3">
        <f ca="1">INDIRECT(ADDRESS(161,34))</f>
        <v>4848435</v>
      </c>
      <c r="BD161" s="4">
        <f ca="1">IFERROR(INDIRECT(ADDRESS(161,34)) / INDIRECT(ADDRESS(178,34)),0)</f>
        <v>2.8928682747638977E-3</v>
      </c>
      <c r="BE161" s="4">
        <f ca="1">IFERROR((INDIRECT(ADDRESS(161,34)) - INDIRECT(ADDRESS(161,3)))/ INDIRECT(ADDRESS(161,3)),1)</f>
        <v>-0.92802676843354404</v>
      </c>
    </row>
    <row r="162" spans="1:57" x14ac:dyDescent="0.25">
      <c r="A162" s="5"/>
      <c r="B162" s="1" t="s">
        <v>41</v>
      </c>
      <c r="C162">
        <v>216163500</v>
      </c>
      <c r="D162">
        <v>207066200</v>
      </c>
      <c r="E162">
        <v>202721200</v>
      </c>
      <c r="F162">
        <v>197880300</v>
      </c>
      <c r="G162">
        <v>193358300</v>
      </c>
      <c r="H162">
        <v>188592700</v>
      </c>
      <c r="I162">
        <v>184453800</v>
      </c>
      <c r="J162">
        <v>179221300</v>
      </c>
      <c r="K162">
        <v>174217600</v>
      </c>
      <c r="L162">
        <v>169194600</v>
      </c>
      <c r="M162">
        <v>164180800</v>
      </c>
      <c r="N162">
        <v>159409300</v>
      </c>
      <c r="O162">
        <v>154794900</v>
      </c>
      <c r="P162">
        <v>150435600</v>
      </c>
      <c r="Q162">
        <v>146123500</v>
      </c>
      <c r="R162">
        <v>141636200</v>
      </c>
      <c r="S162">
        <v>137515000</v>
      </c>
      <c r="T162">
        <v>133355700</v>
      </c>
      <c r="U162">
        <v>129218600</v>
      </c>
      <c r="V162">
        <v>125166600</v>
      </c>
      <c r="W162">
        <v>122959400</v>
      </c>
      <c r="X162">
        <v>120857200</v>
      </c>
      <c r="Y162">
        <v>118777500</v>
      </c>
      <c r="Z162">
        <v>116787000</v>
      </c>
      <c r="AA162">
        <v>114906600</v>
      </c>
      <c r="AB162">
        <v>113138500</v>
      </c>
      <c r="AC162">
        <v>111472300</v>
      </c>
      <c r="AD162">
        <v>109912700</v>
      </c>
      <c r="AE162">
        <v>108431600</v>
      </c>
      <c r="AF162">
        <v>107015400</v>
      </c>
      <c r="AG162">
        <v>105648600</v>
      </c>
      <c r="AH162">
        <v>104313400</v>
      </c>
      <c r="AK162" s="3" t="str">
        <f ca="1">INDIRECT(ADDRESS(162,2))</f>
        <v>Diesel</v>
      </c>
      <c r="AL162" s="3">
        <f ca="1">INDIRECT(ADDRESS(162,3))</f>
        <v>216163500</v>
      </c>
      <c r="AM162" s="4">
        <f ca="1">IFERROR(INDIRECT(ADDRESS(162,3)) / INDIRECT(ADDRESS(178,3)),0)</f>
        <v>9.866222008794287E-2</v>
      </c>
      <c r="AN162" s="3">
        <f ca="1">INDIRECT(ADDRESS(162,9))</f>
        <v>184453800</v>
      </c>
      <c r="AO162" s="4">
        <f ca="1">IFERROR(INDIRECT(ADDRESS(162,9)) / INDIRECT(ADDRESS(178,9)),0)</f>
        <v>8.8190073355963544E-2</v>
      </c>
      <c r="AP162" s="4">
        <f ca="1">IFERROR((INDIRECT(ADDRESS(162,9)) - INDIRECT(ADDRESS(162,3)))/ INDIRECT(ADDRESS(162,3)),1)</f>
        <v>-0.14669312811829935</v>
      </c>
      <c r="AQ162" s="3">
        <f ca="1">INDIRECT(ADDRESS(162,14))</f>
        <v>159409300</v>
      </c>
      <c r="AR162" s="4">
        <f ca="1">IFERROR(INDIRECT(ADDRESS(162,14)) / INDIRECT(ADDRESS(178,14)),0)</f>
        <v>8.3560229241317591E-2</v>
      </c>
      <c r="AS162" s="4">
        <f ca="1">IFERROR((INDIRECT(ADDRESS(162,14)) - INDIRECT(ADDRESS(162,3)))/ INDIRECT(ADDRESS(162,3)),1)</f>
        <v>-0.26255218850545997</v>
      </c>
      <c r="AT162" s="3">
        <f ca="1">INDIRECT(ADDRESS(162,19))</f>
        <v>137515000</v>
      </c>
      <c r="AU162" s="4">
        <f ca="1">IFERROR(INDIRECT(ADDRESS(162,19)) / INDIRECT(ADDRESS(178,19)),0)</f>
        <v>7.4733934849367689E-2</v>
      </c>
      <c r="AV162" s="4">
        <f ca="1">IFERROR((INDIRECT(ADDRESS(162,19)) - INDIRECT(ADDRESS(162,3)))/ INDIRECT(ADDRESS(162,3)),1)</f>
        <v>-0.36383802075743593</v>
      </c>
      <c r="AW162" s="3">
        <f ca="1">INDIRECT(ADDRESS(162,24))</f>
        <v>120857200</v>
      </c>
      <c r="AX162" s="4">
        <f ca="1">IFERROR(INDIRECT(ADDRESS(162,24)) / INDIRECT(ADDRESS(178,24)),0)</f>
        <v>6.7958281081654512E-2</v>
      </c>
      <c r="AY162" s="4">
        <f ca="1">IFERROR((INDIRECT(ADDRESS(162,24)) - INDIRECT(ADDRESS(162,3)))/ INDIRECT(ADDRESS(162,3)),1)</f>
        <v>-0.44089913422016203</v>
      </c>
      <c r="AZ162" s="3">
        <f ca="1">INDIRECT(ADDRESS(162,29))</f>
        <v>111472300</v>
      </c>
      <c r="BA162" s="4">
        <f ca="1">IFERROR(INDIRECT(ADDRESS(162,29)) / INDIRECT(ADDRESS(178,29)),0)</f>
        <v>6.5286365118140718E-2</v>
      </c>
      <c r="BB162" s="4">
        <f ca="1">IFERROR((INDIRECT(ADDRESS(162,29)) - INDIRECT(ADDRESS(162,3)))/ INDIRECT(ADDRESS(162,3)),1)</f>
        <v>-0.48431488202217304</v>
      </c>
      <c r="BC162" s="3">
        <f ca="1">INDIRECT(ADDRESS(162,34))</f>
        <v>104313400</v>
      </c>
      <c r="BD162" s="4">
        <f ca="1">IFERROR(INDIRECT(ADDRESS(162,34)) / INDIRECT(ADDRESS(178,34)),0)</f>
        <v>6.2239655784342034E-2</v>
      </c>
      <c r="BE162" s="4">
        <f ca="1">IFERROR((INDIRECT(ADDRESS(162,34)) - INDIRECT(ADDRESS(162,3)))/ INDIRECT(ADDRESS(162,3)),1)</f>
        <v>-0.51743286910139774</v>
      </c>
    </row>
    <row r="163" spans="1:57" x14ac:dyDescent="0.25">
      <c r="A163" s="5"/>
      <c r="B163" s="1" t="s">
        <v>42</v>
      </c>
      <c r="C163">
        <v>93733824.84300001</v>
      </c>
      <c r="D163">
        <v>93716900.101000011</v>
      </c>
      <c r="E163">
        <v>93666302.126000002</v>
      </c>
      <c r="F163">
        <v>93616502.893000007</v>
      </c>
      <c r="G163">
        <v>93553882.578000009</v>
      </c>
      <c r="H163">
        <v>93479664.601000011</v>
      </c>
      <c r="I163">
        <v>93470429.045999989</v>
      </c>
      <c r="J163">
        <v>93421667.674999997</v>
      </c>
      <c r="K163">
        <v>93363405.395999998</v>
      </c>
      <c r="L163">
        <v>93288100.689999998</v>
      </c>
      <c r="M163">
        <v>93188248.715999991</v>
      </c>
      <c r="N163">
        <v>92918826.334000006</v>
      </c>
      <c r="O163">
        <v>92824470.897799999</v>
      </c>
      <c r="P163">
        <v>92713540.894199997</v>
      </c>
      <c r="Q163">
        <v>92597851.006300002</v>
      </c>
      <c r="R163">
        <v>92489233.986709997</v>
      </c>
      <c r="S163">
        <v>92407256.392590001</v>
      </c>
      <c r="T163">
        <v>92426773.215560004</v>
      </c>
      <c r="U163">
        <v>92472722.729200006</v>
      </c>
      <c r="V163">
        <v>92543361.181759998</v>
      </c>
      <c r="W163">
        <v>92635411.982079998</v>
      </c>
      <c r="X163">
        <v>92745192.157200009</v>
      </c>
      <c r="Y163">
        <v>92778100.324129999</v>
      </c>
      <c r="Z163">
        <v>92823375.37030001</v>
      </c>
      <c r="AA163">
        <v>92880543.012370005</v>
      </c>
      <c r="AB163">
        <v>92949510.530290008</v>
      </c>
      <c r="AC163">
        <v>92972681.918200001</v>
      </c>
      <c r="AD163">
        <v>92995053.79682</v>
      </c>
      <c r="AE163">
        <v>93023913.360919997</v>
      </c>
      <c r="AF163">
        <v>93056536.82051</v>
      </c>
      <c r="AG163">
        <v>93090910.502759993</v>
      </c>
      <c r="AH163">
        <v>93126053.589179993</v>
      </c>
      <c r="AK163" s="3" t="str">
        <f ca="1">INDIRECT(ADDRESS(163,2))</f>
        <v>Fuel Oil</v>
      </c>
      <c r="AL163" s="3">
        <f ca="1">INDIRECT(ADDRESS(163,3))</f>
        <v>93733824.84300001</v>
      </c>
      <c r="AM163" s="4">
        <f ca="1">IFERROR(INDIRECT(ADDRESS(163,3)) / INDIRECT(ADDRESS(178,3)),0)</f>
        <v>4.2782371937652539E-2</v>
      </c>
      <c r="AN163" s="3">
        <f ca="1">INDIRECT(ADDRESS(163,9))</f>
        <v>93470429.045999989</v>
      </c>
      <c r="AO163" s="4">
        <f ca="1">IFERROR(INDIRECT(ADDRESS(163,9)) / INDIRECT(ADDRESS(178,9)),0)</f>
        <v>4.4689586195459916E-2</v>
      </c>
      <c r="AP163" s="4">
        <f ca="1">IFERROR((INDIRECT(ADDRESS(163,9)) - INDIRECT(ADDRESS(163,3)))/ INDIRECT(ADDRESS(163,3)),1)</f>
        <v>-2.8100399982738033E-3</v>
      </c>
      <c r="AQ163" s="3">
        <f ca="1">INDIRECT(ADDRESS(163,14))</f>
        <v>92918826.334000006</v>
      </c>
      <c r="AR163" s="4">
        <f ca="1">IFERROR(INDIRECT(ADDRESS(163,14)) / INDIRECT(ADDRESS(178,14)),0)</f>
        <v>4.8706809635969905E-2</v>
      </c>
      <c r="AS163" s="4">
        <f ca="1">IFERROR((INDIRECT(ADDRESS(163,14)) - INDIRECT(ADDRESS(163,3)))/ INDIRECT(ADDRESS(163,3)),1)</f>
        <v>-8.6948175897557742E-3</v>
      </c>
      <c r="AT163" s="3">
        <f ca="1">INDIRECT(ADDRESS(163,19))</f>
        <v>92407256.392590001</v>
      </c>
      <c r="AU163" s="4">
        <f ca="1">IFERROR(INDIRECT(ADDRESS(163,19)) / INDIRECT(ADDRESS(178,19)),0)</f>
        <v>5.0219669700415491E-2</v>
      </c>
      <c r="AV163" s="4">
        <f ca="1">IFERROR((INDIRECT(ADDRESS(163,19)) - INDIRECT(ADDRESS(163,3)))/ INDIRECT(ADDRESS(163,3)),1)</f>
        <v>-1.4152505273650699E-2</v>
      </c>
      <c r="AW163" s="3">
        <f ca="1">INDIRECT(ADDRESS(163,24))</f>
        <v>92745192.157200009</v>
      </c>
      <c r="AX163" s="4">
        <f ca="1">IFERROR(INDIRECT(ADDRESS(163,24)) / INDIRECT(ADDRESS(178,24)),0)</f>
        <v>5.215083451868037E-2</v>
      </c>
      <c r="AY163" s="4">
        <f ca="1">IFERROR((INDIRECT(ADDRESS(163,24)) - INDIRECT(ADDRESS(163,3)))/ INDIRECT(ADDRESS(163,3)),1)</f>
        <v>-1.0547235082489346E-2</v>
      </c>
      <c r="AZ163" s="3">
        <f ca="1">INDIRECT(ADDRESS(163,29))</f>
        <v>92972681.918200001</v>
      </c>
      <c r="BA163" s="4">
        <f ca="1">IFERROR(INDIRECT(ADDRESS(163,29)) / INDIRECT(ADDRESS(178,29)),0)</f>
        <v>5.4451630205211203E-2</v>
      </c>
      <c r="BB163" s="4">
        <f ca="1">IFERROR((INDIRECT(ADDRESS(163,29)) - INDIRECT(ADDRESS(163,3)))/ INDIRECT(ADDRESS(163,3)),1)</f>
        <v>-8.1202588934665698E-3</v>
      </c>
      <c r="BC163" s="3">
        <f ca="1">INDIRECT(ADDRESS(163,34))</f>
        <v>93126053.589179993</v>
      </c>
      <c r="BD163" s="4">
        <f ca="1">IFERROR(INDIRECT(ADDRESS(163,34)) / INDIRECT(ADDRESS(178,34)),0)</f>
        <v>5.5564611257467908E-2</v>
      </c>
      <c r="BE163" s="4">
        <f ca="1">IFERROR((INDIRECT(ADDRESS(163,34)) - INDIRECT(ADDRESS(163,3)))/ INDIRECT(ADDRESS(163,3)),1)</f>
        <v>-6.4840120931585459E-3</v>
      </c>
    </row>
    <row r="164" spans="1:57" x14ac:dyDescent="0.25">
      <c r="A164" s="5"/>
      <c r="B164" s="1" t="s">
        <v>43</v>
      </c>
      <c r="C164">
        <v>344926100</v>
      </c>
      <c r="D164">
        <v>344177300</v>
      </c>
      <c r="E164">
        <v>338589300</v>
      </c>
      <c r="F164">
        <v>330297700</v>
      </c>
      <c r="G164">
        <v>322639400</v>
      </c>
      <c r="H164">
        <v>310511500</v>
      </c>
      <c r="I164">
        <v>286185400</v>
      </c>
      <c r="J164">
        <v>270122200</v>
      </c>
      <c r="K164">
        <v>251464600</v>
      </c>
      <c r="L164">
        <v>231359300</v>
      </c>
      <c r="M164">
        <v>211558700</v>
      </c>
      <c r="N164">
        <v>194451300</v>
      </c>
      <c r="O164">
        <v>180186600</v>
      </c>
      <c r="P164">
        <v>168117400</v>
      </c>
      <c r="Q164">
        <v>157210900</v>
      </c>
      <c r="R164">
        <v>144151800</v>
      </c>
      <c r="S164">
        <v>133588800</v>
      </c>
      <c r="T164">
        <v>122256000</v>
      </c>
      <c r="U164">
        <v>110704200</v>
      </c>
      <c r="V164">
        <v>99540440</v>
      </c>
      <c r="W164">
        <v>90457900</v>
      </c>
      <c r="X164">
        <v>82176810</v>
      </c>
      <c r="Y164">
        <v>74209070</v>
      </c>
      <c r="Z164">
        <v>66933190</v>
      </c>
      <c r="AA164">
        <v>60555390</v>
      </c>
      <c r="AB164">
        <v>55121180</v>
      </c>
      <c r="AC164">
        <v>50564190</v>
      </c>
      <c r="AD164">
        <v>46818010</v>
      </c>
      <c r="AE164">
        <v>43785490</v>
      </c>
      <c r="AF164">
        <v>41355860</v>
      </c>
      <c r="AG164">
        <v>39395920</v>
      </c>
      <c r="AH164">
        <v>37755550</v>
      </c>
      <c r="AK164" s="3" t="str">
        <f ca="1">INDIRECT(ADDRESS(164,2))</f>
        <v>Gasoline</v>
      </c>
      <c r="AL164" s="3">
        <f ca="1">INDIRECT(ADDRESS(164,3))</f>
        <v>344926100</v>
      </c>
      <c r="AM164" s="4">
        <f ca="1">IFERROR(INDIRECT(ADDRESS(164,3)) / INDIRECT(ADDRESS(178,3)),0)</f>
        <v>0.15743256744212503</v>
      </c>
      <c r="AN164" s="3">
        <f ca="1">INDIRECT(ADDRESS(164,9))</f>
        <v>286185400</v>
      </c>
      <c r="AO164" s="4">
        <f ca="1">IFERROR(INDIRECT(ADDRESS(164,9)) / INDIRECT(ADDRESS(178,9)),0)</f>
        <v>0.13682944682845119</v>
      </c>
      <c r="AP164" s="4">
        <f ca="1">IFERROR((INDIRECT(ADDRESS(164,9)) - INDIRECT(ADDRESS(164,3)))/ INDIRECT(ADDRESS(164,3)),1)</f>
        <v>-0.17029937717093604</v>
      </c>
      <c r="AQ164" s="3">
        <f ca="1">INDIRECT(ADDRESS(164,14))</f>
        <v>194451300</v>
      </c>
      <c r="AR164" s="4">
        <f ca="1">IFERROR(INDIRECT(ADDRESS(164,14)) / INDIRECT(ADDRESS(178,14)),0)</f>
        <v>0.1019287783352177</v>
      </c>
      <c r="AS164" s="4">
        <f ca="1">IFERROR((INDIRECT(ADDRESS(164,14)) - INDIRECT(ADDRESS(164,3)))/ INDIRECT(ADDRESS(164,3)),1)</f>
        <v>-0.43625228708410296</v>
      </c>
      <c r="AT164" s="3">
        <f ca="1">INDIRECT(ADDRESS(164,19))</f>
        <v>133588800</v>
      </c>
      <c r="AU164" s="4">
        <f ca="1">IFERROR(INDIRECT(ADDRESS(164,19)) / INDIRECT(ADDRESS(178,19)),0)</f>
        <v>7.2600201256628069E-2</v>
      </c>
      <c r="AV164" s="4">
        <f ca="1">IFERROR((INDIRECT(ADDRESS(164,19)) - INDIRECT(ADDRESS(164,3)))/ INDIRECT(ADDRESS(164,3)),1)</f>
        <v>-0.61270312684369199</v>
      </c>
      <c r="AW164" s="3">
        <f ca="1">INDIRECT(ADDRESS(164,24))</f>
        <v>82176810</v>
      </c>
      <c r="AX164" s="4">
        <f ca="1">IFERROR(INDIRECT(ADDRESS(164,24)) / INDIRECT(ADDRESS(178,24)),0)</f>
        <v>4.6208208963749921E-2</v>
      </c>
      <c r="AY164" s="4">
        <f ca="1">IFERROR((INDIRECT(ADDRESS(164,24)) - INDIRECT(ADDRESS(164,3)))/ INDIRECT(ADDRESS(164,3)),1)</f>
        <v>-0.76175531512402217</v>
      </c>
      <c r="AZ164" s="3">
        <f ca="1">INDIRECT(ADDRESS(164,29))</f>
        <v>50564190</v>
      </c>
      <c r="BA164" s="4">
        <f ca="1">IFERROR(INDIRECT(ADDRESS(164,29)) / INDIRECT(ADDRESS(178,29)),0)</f>
        <v>2.961410296767035E-2</v>
      </c>
      <c r="BB164" s="4">
        <f ca="1">IFERROR((INDIRECT(ADDRESS(164,29)) - INDIRECT(ADDRESS(164,3)))/ INDIRECT(ADDRESS(164,3)),1)</f>
        <v>-0.85340572951713423</v>
      </c>
      <c r="BC164" s="3">
        <f ca="1">INDIRECT(ADDRESS(164,34))</f>
        <v>37755550</v>
      </c>
      <c r="BD164" s="4">
        <f ca="1">IFERROR(INDIRECT(ADDRESS(164,34)) / INDIRECT(ADDRESS(178,34)),0)</f>
        <v>2.2527234621328752E-2</v>
      </c>
      <c r="BE164" s="4">
        <f ca="1">IFERROR((INDIRECT(ADDRESS(164,34)) - INDIRECT(ADDRESS(164,3)))/ INDIRECT(ADDRESS(164,3)),1)</f>
        <v>-0.89054017657695372</v>
      </c>
    </row>
    <row r="165" spans="1:57" x14ac:dyDescent="0.25">
      <c r="A165" s="5"/>
      <c r="B165" s="1" t="s">
        <v>101</v>
      </c>
      <c r="C165">
        <v>18826570</v>
      </c>
      <c r="D165">
        <v>18861950</v>
      </c>
      <c r="E165">
        <v>19490750</v>
      </c>
      <c r="F165">
        <v>20872610</v>
      </c>
      <c r="G165">
        <v>22810770</v>
      </c>
      <c r="H165">
        <v>25048020</v>
      </c>
      <c r="I165">
        <v>27311250</v>
      </c>
      <c r="J165">
        <v>29617830</v>
      </c>
      <c r="K165">
        <v>32093990</v>
      </c>
      <c r="L165">
        <v>34961630</v>
      </c>
      <c r="M165">
        <v>38450210</v>
      </c>
      <c r="N165">
        <v>42514980</v>
      </c>
      <c r="O165">
        <v>47228860</v>
      </c>
      <c r="P165">
        <v>52360300</v>
      </c>
      <c r="Q165">
        <v>57548400</v>
      </c>
      <c r="R165">
        <v>62433080</v>
      </c>
      <c r="S165">
        <v>66542640</v>
      </c>
      <c r="T165">
        <v>69801230</v>
      </c>
      <c r="U165">
        <v>72288870</v>
      </c>
      <c r="V165">
        <v>74083990</v>
      </c>
      <c r="W165">
        <v>75301980</v>
      </c>
      <c r="X165">
        <v>76089320</v>
      </c>
      <c r="Y165">
        <v>76504840</v>
      </c>
      <c r="Z165">
        <v>76642450</v>
      </c>
      <c r="AA165">
        <v>76524450</v>
      </c>
      <c r="AB165">
        <v>76153930</v>
      </c>
      <c r="AC165">
        <v>75569460</v>
      </c>
      <c r="AD165">
        <v>74778970</v>
      </c>
      <c r="AE165">
        <v>73854540</v>
      </c>
      <c r="AF165">
        <v>72854660</v>
      </c>
      <c r="AG165">
        <v>71821280</v>
      </c>
      <c r="AH165">
        <v>70790150</v>
      </c>
      <c r="AK165" s="3" t="str">
        <f ca="1">INDIRECT(ADDRESS(165,2))</f>
        <v>Geothermal</v>
      </c>
      <c r="AL165" s="3">
        <f ca="1">INDIRECT(ADDRESS(165,3))</f>
        <v>18826570</v>
      </c>
      <c r="AM165" s="4">
        <f ca="1">IFERROR(INDIRECT(ADDRESS(165,3)) / INDIRECT(ADDRESS(178,3)),0)</f>
        <v>8.5928993231561418E-3</v>
      </c>
      <c r="AN165" s="3">
        <f ca="1">INDIRECT(ADDRESS(165,9))</f>
        <v>27311250</v>
      </c>
      <c r="AO165" s="4">
        <f ca="1">IFERROR(INDIRECT(ADDRESS(165,9)) / INDIRECT(ADDRESS(178,9)),0)</f>
        <v>1.3057910115937212E-2</v>
      </c>
      <c r="AP165" s="4">
        <f ca="1">IFERROR((INDIRECT(ADDRESS(165,9)) - INDIRECT(ADDRESS(165,3)))/ INDIRECT(ADDRESS(165,3)),1)</f>
        <v>0.450675826770357</v>
      </c>
      <c r="AQ165" s="3">
        <f ca="1">INDIRECT(ADDRESS(165,14))</f>
        <v>42514980</v>
      </c>
      <c r="AR165" s="4">
        <f ca="1">IFERROR(INDIRECT(ADDRESS(165,14)) / INDIRECT(ADDRESS(178,14)),0)</f>
        <v>2.2285785553227022E-2</v>
      </c>
      <c r="AS165" s="4">
        <f ca="1">IFERROR((INDIRECT(ADDRESS(165,14)) - INDIRECT(ADDRESS(165,3)))/ INDIRECT(ADDRESS(165,3)),1)</f>
        <v>1.2582435355988904</v>
      </c>
      <c r="AT165" s="3">
        <f ca="1">INDIRECT(ADDRESS(165,19))</f>
        <v>66542640</v>
      </c>
      <c r="AU165" s="4">
        <f ca="1">IFERROR(INDIRECT(ADDRESS(165,19)) / INDIRECT(ADDRESS(178,19)),0)</f>
        <v>3.6163279078390925E-2</v>
      </c>
      <c r="AV165" s="4">
        <f ca="1">IFERROR((INDIRECT(ADDRESS(165,19)) - INDIRECT(ADDRESS(165,3)))/ INDIRECT(ADDRESS(165,3)),1)</f>
        <v>2.5345068166957656</v>
      </c>
      <c r="AW165" s="3">
        <f ca="1">INDIRECT(ADDRESS(165,24))</f>
        <v>76089320</v>
      </c>
      <c r="AX165" s="4">
        <f ca="1">IFERROR(INDIRECT(ADDRESS(165,24)) / INDIRECT(ADDRESS(178,24)),0)</f>
        <v>4.2785199358184339E-2</v>
      </c>
      <c r="AY165" s="4">
        <f ca="1">IFERROR((INDIRECT(ADDRESS(165,24)) - INDIRECT(ADDRESS(165,3)))/ INDIRECT(ADDRESS(165,3)),1)</f>
        <v>3.0415922815467713</v>
      </c>
      <c r="AZ165" s="3">
        <f ca="1">INDIRECT(ADDRESS(165,29))</f>
        <v>75569460</v>
      </c>
      <c r="BA165" s="4">
        <f ca="1">IFERROR(INDIRECT(ADDRESS(165,29)) / INDIRECT(ADDRESS(178,29)),0)</f>
        <v>4.4259025402191669E-2</v>
      </c>
      <c r="BB165" s="4">
        <f ca="1">IFERROR((INDIRECT(ADDRESS(165,29)) - INDIRECT(ADDRESS(165,3)))/ INDIRECT(ADDRESS(165,3)),1)</f>
        <v>3.0139791794256734</v>
      </c>
      <c r="BC165" s="3">
        <f ca="1">INDIRECT(ADDRESS(165,34))</f>
        <v>70790150</v>
      </c>
      <c r="BD165" s="4">
        <f ca="1">IFERROR(INDIRECT(ADDRESS(165,34)) / INDIRECT(ADDRESS(178,34)),0)</f>
        <v>4.2237666195540938E-2</v>
      </c>
      <c r="BE165" s="4">
        <f ca="1">IFERROR((INDIRECT(ADDRESS(165,34)) - INDIRECT(ADDRESS(165,3)))/ INDIRECT(ADDRESS(165,3)),1)</f>
        <v>2.7601193419725418</v>
      </c>
    </row>
    <row r="166" spans="1:57" x14ac:dyDescent="0.25">
      <c r="A166" s="5"/>
      <c r="B166" s="1" t="s">
        <v>44</v>
      </c>
      <c r="C166">
        <v>321326760.80000001</v>
      </c>
      <c r="D166">
        <v>322365334.69999999</v>
      </c>
      <c r="E166">
        <v>324513352</v>
      </c>
      <c r="F166">
        <v>327096188.30000001</v>
      </c>
      <c r="G166">
        <v>329897842.80000001</v>
      </c>
      <c r="H166">
        <v>331130866.39999998</v>
      </c>
      <c r="I166">
        <v>332886985.19999999</v>
      </c>
      <c r="J166">
        <v>333584886.69999999</v>
      </c>
      <c r="K166">
        <v>335254791.5</v>
      </c>
      <c r="L166">
        <v>337867855.5</v>
      </c>
      <c r="M166">
        <v>341265621</v>
      </c>
      <c r="N166">
        <v>345675301.5</v>
      </c>
      <c r="O166">
        <v>349040965.80000001</v>
      </c>
      <c r="P166">
        <v>352328813.30000001</v>
      </c>
      <c r="Q166">
        <v>355672386</v>
      </c>
      <c r="R166">
        <v>359177133.89999998</v>
      </c>
      <c r="S166">
        <v>363349710.80000001</v>
      </c>
      <c r="T166">
        <v>367275385.39999998</v>
      </c>
      <c r="U166">
        <v>371330141.5</v>
      </c>
      <c r="V166">
        <v>375218080.89999998</v>
      </c>
      <c r="W166">
        <v>378399144.69999999</v>
      </c>
      <c r="X166">
        <v>382133874.10000002</v>
      </c>
      <c r="Y166">
        <v>385137979.30000001</v>
      </c>
      <c r="Z166">
        <v>387705912.39999998</v>
      </c>
      <c r="AA166">
        <v>389752790.30000001</v>
      </c>
      <c r="AB166">
        <v>390813587.19999999</v>
      </c>
      <c r="AC166">
        <v>392449331.19999999</v>
      </c>
      <c r="AD166">
        <v>393185367.19999999</v>
      </c>
      <c r="AE166">
        <v>393637148</v>
      </c>
      <c r="AF166">
        <v>393869751.80000001</v>
      </c>
      <c r="AG166">
        <v>393452969.19999999</v>
      </c>
      <c r="AH166">
        <v>393899371.19999999</v>
      </c>
      <c r="AK166" s="3" t="str">
        <f ca="1">INDIRECT(ADDRESS(166,2))</f>
        <v>Grid Electricity</v>
      </c>
      <c r="AL166" s="3">
        <f ca="1">INDIRECT(ADDRESS(166,3))</f>
        <v>321326760.80000001</v>
      </c>
      <c r="AM166" s="4">
        <f ca="1">IFERROR(INDIRECT(ADDRESS(166,3)) / INDIRECT(ADDRESS(178,3)),0)</f>
        <v>0.14666126147196626</v>
      </c>
      <c r="AN166" s="3">
        <f ca="1">INDIRECT(ADDRESS(166,9))</f>
        <v>332886985.19999999</v>
      </c>
      <c r="AO166" s="4">
        <f ca="1">IFERROR(INDIRECT(ADDRESS(166,9)) / INDIRECT(ADDRESS(178,9)),0)</f>
        <v>0.15915816125248464</v>
      </c>
      <c r="AP166" s="4">
        <f ca="1">IFERROR((INDIRECT(ADDRESS(166,9)) - INDIRECT(ADDRESS(166,3)))/ INDIRECT(ADDRESS(166,3)),1)</f>
        <v>3.5976537936705758E-2</v>
      </c>
      <c r="AQ166" s="3">
        <f ca="1">INDIRECT(ADDRESS(166,14))</f>
        <v>345675301.5</v>
      </c>
      <c r="AR166" s="4">
        <f ca="1">IFERROR(INDIRECT(ADDRESS(166,14)) / INDIRECT(ADDRESS(178,14)),0)</f>
        <v>0.18119838325870305</v>
      </c>
      <c r="AS166" s="4">
        <f ca="1">IFERROR((INDIRECT(ADDRESS(166,14)) - INDIRECT(ADDRESS(166,3)))/ INDIRECT(ADDRESS(166,3)),1)</f>
        <v>7.5775016806505543E-2</v>
      </c>
      <c r="AT166" s="3">
        <f ca="1">INDIRECT(ADDRESS(166,19))</f>
        <v>363349710.80000001</v>
      </c>
      <c r="AU166" s="4">
        <f ca="1">IFERROR(INDIRECT(ADDRESS(166,19)) / INDIRECT(ADDRESS(178,19)),0)</f>
        <v>0.19746612089200299</v>
      </c>
      <c r="AV166" s="4">
        <f ca="1">IFERROR((INDIRECT(ADDRESS(166,19)) - INDIRECT(ADDRESS(166,3)))/ INDIRECT(ADDRESS(166,3)),1)</f>
        <v>0.13077949030879471</v>
      </c>
      <c r="AW166" s="3">
        <f ca="1">INDIRECT(ADDRESS(166,24))</f>
        <v>382133874.10000002</v>
      </c>
      <c r="AX166" s="4">
        <f ca="1">IFERROR(INDIRECT(ADDRESS(166,24)) / INDIRECT(ADDRESS(178,24)),0)</f>
        <v>0.21487475489180105</v>
      </c>
      <c r="AY166" s="4">
        <f ca="1">IFERROR((INDIRECT(ADDRESS(166,24)) - INDIRECT(ADDRESS(166,3)))/ INDIRECT(ADDRESS(166,3)),1)</f>
        <v>0.18923762573839137</v>
      </c>
      <c r="AZ166" s="3">
        <f ca="1">INDIRECT(ADDRESS(166,29))</f>
        <v>392449331.19999999</v>
      </c>
      <c r="BA166" s="4">
        <f ca="1">IFERROR(INDIRECT(ADDRESS(166,29)) / INDIRECT(ADDRESS(178,29)),0)</f>
        <v>0.22984714881717999</v>
      </c>
      <c r="BB166" s="4">
        <f ca="1">IFERROR((INDIRECT(ADDRESS(166,29)) - INDIRECT(ADDRESS(166,3)))/ INDIRECT(ADDRESS(166,3)),1)</f>
        <v>0.22134032728219621</v>
      </c>
      <c r="BC166" s="3">
        <f ca="1">INDIRECT(ADDRESS(166,34))</f>
        <v>393899371.19999999</v>
      </c>
      <c r="BD166" s="4">
        <f ca="1">IFERROR(INDIRECT(ADDRESS(166,34)) / INDIRECT(ADDRESS(178,34)),0)</f>
        <v>0.23502408393511062</v>
      </c>
      <c r="BE166" s="4">
        <f ca="1">IFERROR((INDIRECT(ADDRESS(166,34)) - INDIRECT(ADDRESS(166,3)))/ INDIRECT(ADDRESS(166,3)),1)</f>
        <v>0.22585299219809013</v>
      </c>
    </row>
    <row r="167" spans="1:57" x14ac:dyDescent="0.25">
      <c r="A167" s="5"/>
      <c r="B167" s="1" t="s">
        <v>102</v>
      </c>
      <c r="C167">
        <v>0</v>
      </c>
      <c r="D167">
        <v>366293.1</v>
      </c>
      <c r="E167">
        <v>931732.7</v>
      </c>
      <c r="F167">
        <v>1484582</v>
      </c>
      <c r="G167">
        <v>2024624</v>
      </c>
      <c r="H167">
        <v>2551851</v>
      </c>
      <c r="I167">
        <v>3188396.4</v>
      </c>
      <c r="J167">
        <v>3679621</v>
      </c>
      <c r="K167">
        <v>4156060.6</v>
      </c>
      <c r="L167">
        <v>4626034.2</v>
      </c>
      <c r="M167">
        <v>5092810.8</v>
      </c>
      <c r="N167">
        <v>5560757.4000000004</v>
      </c>
      <c r="O167">
        <v>6028034.4000000004</v>
      </c>
      <c r="P167">
        <v>6500386.5</v>
      </c>
      <c r="Q167">
        <v>6978254.5</v>
      </c>
      <c r="R167">
        <v>7461560.5999999996</v>
      </c>
      <c r="S167">
        <v>7950214.5999999996</v>
      </c>
      <c r="T167">
        <v>8444232.5999999996</v>
      </c>
      <c r="U167">
        <v>8943981.5</v>
      </c>
      <c r="V167">
        <v>9449684.5</v>
      </c>
      <c r="W167">
        <v>9961388.5</v>
      </c>
      <c r="X167">
        <v>10479045.4</v>
      </c>
      <c r="Y167">
        <v>10996473.9</v>
      </c>
      <c r="Z167">
        <v>11518692.300000001</v>
      </c>
      <c r="AA167">
        <v>12045390.699999999</v>
      </c>
      <c r="AB167">
        <v>12576059.1</v>
      </c>
      <c r="AC167">
        <v>13110207.5</v>
      </c>
      <c r="AD167">
        <v>13652208.9</v>
      </c>
      <c r="AE167">
        <v>14197290.4</v>
      </c>
      <c r="AF167">
        <v>14745261.800000001</v>
      </c>
      <c r="AG167">
        <v>15296053.199999999</v>
      </c>
      <c r="AH167">
        <v>15849624.6</v>
      </c>
      <c r="AK167" s="3" t="str">
        <f ca="1">INDIRECT(ADDRESS(167,2))</f>
        <v>Hydrogen</v>
      </c>
      <c r="AL167" s="3">
        <f ca="1">INDIRECT(ADDRESS(167,3))</f>
        <v>0</v>
      </c>
      <c r="AM167" s="4">
        <f ca="1">IFERROR(INDIRECT(ADDRESS(167,3)) / INDIRECT(ADDRESS(178,3)),0)</f>
        <v>0</v>
      </c>
      <c r="AN167" s="3">
        <f ca="1">INDIRECT(ADDRESS(167,9))</f>
        <v>3188396.4</v>
      </c>
      <c r="AO167" s="4">
        <f ca="1">IFERROR(INDIRECT(ADDRESS(167,9)) / INDIRECT(ADDRESS(178,9)),0)</f>
        <v>1.5244191900838588E-3</v>
      </c>
      <c r="AP167" s="4">
        <f ca="1">IFERROR((INDIRECT(ADDRESS(167,9)) - INDIRECT(ADDRESS(167,3)))/ INDIRECT(ADDRESS(167,3)),1)</f>
        <v>1</v>
      </c>
      <c r="AQ167" s="3">
        <f ca="1">INDIRECT(ADDRESS(167,14))</f>
        <v>5560757.4000000004</v>
      </c>
      <c r="AR167" s="4">
        <f ca="1">IFERROR(INDIRECT(ADDRESS(167,14)) / INDIRECT(ADDRESS(178,14)),0)</f>
        <v>2.9148748730428724E-3</v>
      </c>
      <c r="AS167" s="4">
        <f ca="1">IFERROR((INDIRECT(ADDRESS(167,14)) - INDIRECT(ADDRESS(167,3)))/ INDIRECT(ADDRESS(167,3)),1)</f>
        <v>1</v>
      </c>
      <c r="AT167" s="3">
        <f ca="1">INDIRECT(ADDRESS(167,19))</f>
        <v>7950214.5999999996</v>
      </c>
      <c r="AU167" s="4">
        <f ca="1">IFERROR(INDIRECT(ADDRESS(167,19)) / INDIRECT(ADDRESS(178,19)),0)</f>
        <v>4.3206255314321472E-3</v>
      </c>
      <c r="AV167" s="4">
        <f ca="1">IFERROR((INDIRECT(ADDRESS(167,19)) - INDIRECT(ADDRESS(167,3)))/ INDIRECT(ADDRESS(167,3)),1)</f>
        <v>1</v>
      </c>
      <c r="AW167" s="3">
        <f ca="1">INDIRECT(ADDRESS(167,24))</f>
        <v>10479045.4</v>
      </c>
      <c r="AX167" s="4">
        <f ca="1">IFERROR(INDIRECT(ADDRESS(167,24)) / INDIRECT(ADDRESS(178,24)),0)</f>
        <v>5.892391291214911E-3</v>
      </c>
      <c r="AY167" s="4">
        <f ca="1">IFERROR((INDIRECT(ADDRESS(167,24)) - INDIRECT(ADDRESS(167,3)))/ INDIRECT(ADDRESS(167,3)),1)</f>
        <v>1</v>
      </c>
      <c r="AZ167" s="3">
        <f ca="1">INDIRECT(ADDRESS(167,29))</f>
        <v>13110207.5</v>
      </c>
      <c r="BA167" s="4">
        <f ca="1">IFERROR(INDIRECT(ADDRESS(167,29)) / INDIRECT(ADDRESS(178,29)),0)</f>
        <v>7.6783002918176697E-3</v>
      </c>
      <c r="BB167" s="4">
        <f ca="1">IFERROR((INDIRECT(ADDRESS(167,29)) - INDIRECT(ADDRESS(167,3)))/ INDIRECT(ADDRESS(167,3)),1)</f>
        <v>1</v>
      </c>
      <c r="BC167" s="3">
        <f ca="1">INDIRECT(ADDRESS(167,34))</f>
        <v>15849624.6</v>
      </c>
      <c r="BD167" s="4">
        <f ca="1">IFERROR(INDIRECT(ADDRESS(167,34)) / INDIRECT(ADDRESS(178,34)),0)</f>
        <v>9.4568404386688558E-3</v>
      </c>
      <c r="BE167" s="4">
        <f ca="1">IFERROR((INDIRECT(ADDRESS(167,34)) - INDIRECT(ADDRESS(167,3)))/ INDIRECT(ADDRESS(167,3)),1)</f>
        <v>1</v>
      </c>
    </row>
    <row r="168" spans="1:57" x14ac:dyDescent="0.25">
      <c r="A168" s="5"/>
      <c r="B168" s="1" t="s">
        <v>103</v>
      </c>
      <c r="C168">
        <v>610090.47</v>
      </c>
      <c r="D168">
        <v>610090.47199999995</v>
      </c>
      <c r="E168">
        <v>610090.47600000002</v>
      </c>
      <c r="F168">
        <v>610090.41799999995</v>
      </c>
      <c r="G168">
        <v>610090.48499999999</v>
      </c>
      <c r="H168">
        <v>610090.40599999996</v>
      </c>
      <c r="I168">
        <v>610090.44999999995</v>
      </c>
      <c r="J168">
        <v>610090.50600000005</v>
      </c>
      <c r="K168">
        <v>610090.38899999997</v>
      </c>
      <c r="L168">
        <v>610090.41800000006</v>
      </c>
      <c r="M168">
        <v>610090.51399999997</v>
      </c>
      <c r="N168">
        <v>610090.43000000005</v>
      </c>
      <c r="O168">
        <v>610090.5</v>
      </c>
      <c r="P168">
        <v>610090.48</v>
      </c>
      <c r="Q168">
        <v>610090.49099999992</v>
      </c>
      <c r="R168">
        <v>610090.44099999999</v>
      </c>
      <c r="S168">
        <v>610090.43700000003</v>
      </c>
      <c r="T168">
        <v>610090.46900000004</v>
      </c>
      <c r="U168">
        <v>610090.48100000003</v>
      </c>
      <c r="V168">
        <v>610090.49199999997</v>
      </c>
      <c r="W168">
        <v>610090.478</v>
      </c>
      <c r="X168">
        <v>610090.47699999996</v>
      </c>
      <c r="Y168">
        <v>610090.429</v>
      </c>
      <c r="Z168">
        <v>610090.42200000002</v>
      </c>
      <c r="AA168">
        <v>610090.46</v>
      </c>
      <c r="AB168">
        <v>610090.48900000006</v>
      </c>
      <c r="AC168">
        <v>610090.48800000001</v>
      </c>
      <c r="AD168">
        <v>610090.44499999995</v>
      </c>
      <c r="AE168">
        <v>610090.43799999997</v>
      </c>
      <c r="AF168">
        <v>610090.4</v>
      </c>
      <c r="AG168">
        <v>610090.45799999998</v>
      </c>
      <c r="AH168">
        <v>610090.48100000003</v>
      </c>
      <c r="AK168" s="3" t="str">
        <f ca="1">INDIRECT(ADDRESS(168,2))</f>
        <v>Local Electricity</v>
      </c>
      <c r="AL168" s="3">
        <f ca="1">INDIRECT(ADDRESS(168,3))</f>
        <v>610090.47</v>
      </c>
      <c r="AM168" s="4">
        <f ca="1">IFERROR(INDIRECT(ADDRESS(168,3)) / INDIRECT(ADDRESS(178,3)),0)</f>
        <v>2.7845996305896466E-4</v>
      </c>
      <c r="AN168" s="3">
        <f ca="1">INDIRECT(ADDRESS(168,9))</f>
        <v>610090.44999999995</v>
      </c>
      <c r="AO168" s="4">
        <f ca="1">IFERROR(INDIRECT(ADDRESS(168,9)) / INDIRECT(ADDRESS(178,9)),0)</f>
        <v>2.9169321282225037E-4</v>
      </c>
      <c r="AP168" s="4">
        <f ca="1">IFERROR((INDIRECT(ADDRESS(168,9)) - INDIRECT(ADDRESS(168,3)))/ INDIRECT(ADDRESS(168,3)),1)</f>
        <v>-3.2782023326190382E-8</v>
      </c>
      <c r="AQ168" s="3">
        <f ca="1">INDIRECT(ADDRESS(168,14))</f>
        <v>610090.43000000005</v>
      </c>
      <c r="AR168" s="4">
        <f ca="1">IFERROR(INDIRECT(ADDRESS(168,14)) / INDIRECT(ADDRESS(178,14)),0)</f>
        <v>3.198012674839801E-4</v>
      </c>
      <c r="AS168" s="4">
        <f ca="1">IFERROR((INDIRECT(ADDRESS(168,14)) - INDIRECT(ADDRESS(168,3)))/ INDIRECT(ADDRESS(168,3)),1)</f>
        <v>-6.5564046461564266E-8</v>
      </c>
      <c r="AT168" s="3">
        <f ca="1">INDIRECT(ADDRESS(168,19))</f>
        <v>610090.43700000003</v>
      </c>
      <c r="AU168" s="4">
        <f ca="1">IFERROR(INDIRECT(ADDRESS(168,19)) / INDIRECT(ADDRESS(178,19)),0)</f>
        <v>3.3155989507312119E-4</v>
      </c>
      <c r="AV168" s="4">
        <f ca="1">IFERROR((INDIRECT(ADDRESS(168,19)) - INDIRECT(ADDRESS(168,3)))/ INDIRECT(ADDRESS(168,3)),1)</f>
        <v>-5.4090338335560935E-8</v>
      </c>
      <c r="AW168" s="3">
        <f ca="1">INDIRECT(ADDRESS(168,24))</f>
        <v>610090.47699999996</v>
      </c>
      <c r="AX168" s="4">
        <f ca="1">IFERROR(INDIRECT(ADDRESS(168,24)) / INDIRECT(ADDRESS(178,24)),0)</f>
        <v>3.4305527615406174E-4</v>
      </c>
      <c r="AY168" s="4">
        <f ca="1">IFERROR((INDIRECT(ADDRESS(168,24)) - INDIRECT(ADDRESS(168,3)))/ INDIRECT(ADDRESS(168,3)),1)</f>
        <v>1.1473708126003334E-8</v>
      </c>
      <c r="AZ168" s="3">
        <f ca="1">INDIRECT(ADDRESS(168,29))</f>
        <v>610090.48800000001</v>
      </c>
      <c r="BA168" s="4">
        <f ca="1">IFERROR(INDIRECT(ADDRESS(168,29)) / INDIRECT(ADDRESS(178,29)),0)</f>
        <v>3.5731379324435442E-4</v>
      </c>
      <c r="BB168" s="4">
        <f ca="1">IFERROR((INDIRECT(ADDRESS(168,29)) - INDIRECT(ADDRESS(168,3)))/ INDIRECT(ADDRESS(168,3)),1)</f>
        <v>2.9503821031734642E-8</v>
      </c>
      <c r="BC168" s="3">
        <f ca="1">INDIRECT(ADDRESS(168,34))</f>
        <v>610090.48100000003</v>
      </c>
      <c r="BD168" s="4">
        <f ca="1">IFERROR(INDIRECT(ADDRESS(168,34)) / INDIRECT(ADDRESS(178,34)),0)</f>
        <v>3.640167182235807E-4</v>
      </c>
      <c r="BE168" s="4">
        <f ca="1">IFERROR((INDIRECT(ADDRESS(168,34)) - INDIRECT(ADDRESS(168,3)))/ INDIRECT(ADDRESS(168,3)),1)</f>
        <v>1.8030112905731304E-8</v>
      </c>
    </row>
    <row r="169" spans="1:57" x14ac:dyDescent="0.25">
      <c r="A169" s="5"/>
      <c r="B169" s="1" t="s">
        <v>46</v>
      </c>
      <c r="C169">
        <v>368529502.75</v>
      </c>
      <c r="D169">
        <v>367704417.44999999</v>
      </c>
      <c r="E169">
        <v>366959119.05000001</v>
      </c>
      <c r="F169">
        <v>365975573.64999998</v>
      </c>
      <c r="G169">
        <v>364581570.14999998</v>
      </c>
      <c r="H169">
        <v>360514348.75</v>
      </c>
      <c r="I169">
        <v>361575684.25</v>
      </c>
      <c r="J169">
        <v>357793706.94999999</v>
      </c>
      <c r="K169">
        <v>353916216.44999999</v>
      </c>
      <c r="L169">
        <v>349814765.14999998</v>
      </c>
      <c r="M169">
        <v>343730080.75</v>
      </c>
      <c r="N169">
        <v>270796892.25</v>
      </c>
      <c r="O169">
        <v>264368237.94999999</v>
      </c>
      <c r="P169">
        <v>257629423.65000001</v>
      </c>
      <c r="Q169">
        <v>250820929.25</v>
      </c>
      <c r="R169">
        <v>243416704.84999999</v>
      </c>
      <c r="S169">
        <v>239450038.55000001</v>
      </c>
      <c r="T169">
        <v>235315131.84999999</v>
      </c>
      <c r="U169">
        <v>231729519.05000001</v>
      </c>
      <c r="V169">
        <v>228617671.25</v>
      </c>
      <c r="W169">
        <v>225107705.94999999</v>
      </c>
      <c r="X169">
        <v>223559157.55000001</v>
      </c>
      <c r="Y169">
        <v>221416565.44999999</v>
      </c>
      <c r="Z169">
        <v>219515934.25</v>
      </c>
      <c r="AA169">
        <v>217846263.05000001</v>
      </c>
      <c r="AB169">
        <v>215563821.94999999</v>
      </c>
      <c r="AC169">
        <v>203947084.25</v>
      </c>
      <c r="AD169">
        <v>202853055.55000001</v>
      </c>
      <c r="AE169">
        <v>201889644.94999999</v>
      </c>
      <c r="AF169">
        <v>201004645.34999999</v>
      </c>
      <c r="AG169">
        <v>199300716.65000001</v>
      </c>
      <c r="AH169">
        <v>199335895.84999999</v>
      </c>
      <c r="AK169" s="3" t="str">
        <f ca="1">INDIRECT(ADDRESS(169,2))</f>
        <v>Natural Gas</v>
      </c>
      <c r="AL169" s="3">
        <f ca="1">INDIRECT(ADDRESS(169,3))</f>
        <v>368529502.75</v>
      </c>
      <c r="AM169" s="4">
        <f ca="1">IFERROR(INDIRECT(ADDRESS(169,3)) / INDIRECT(ADDRESS(178,3)),0)</f>
        <v>0.16820572811423135</v>
      </c>
      <c r="AN169" s="3">
        <f ca="1">INDIRECT(ADDRESS(169,9))</f>
        <v>361575684.25</v>
      </c>
      <c r="AO169" s="4">
        <f ca="1">IFERROR(INDIRECT(ADDRESS(169,9)) / INDIRECT(ADDRESS(178,9)),0)</f>
        <v>0.17287465000851276</v>
      </c>
      <c r="AP169" s="4">
        <f ca="1">IFERROR((INDIRECT(ADDRESS(169,9)) - INDIRECT(ADDRESS(169,3)))/ INDIRECT(ADDRESS(169,3)),1)</f>
        <v>-1.8869095820307429E-2</v>
      </c>
      <c r="AQ169" s="3">
        <f ca="1">INDIRECT(ADDRESS(169,14))</f>
        <v>270796892.25</v>
      </c>
      <c r="AR169" s="4">
        <f ca="1">IFERROR(INDIRECT(ADDRESS(169,14)) / INDIRECT(ADDRESS(178,14)),0)</f>
        <v>0.14194811967837748</v>
      </c>
      <c r="AS169" s="4">
        <f ca="1">IFERROR((INDIRECT(ADDRESS(169,14)) - INDIRECT(ADDRESS(169,3)))/ INDIRECT(ADDRESS(169,3)),1)</f>
        <v>-0.26519616413532854</v>
      </c>
      <c r="AT169" s="3">
        <f ca="1">INDIRECT(ADDRESS(169,19))</f>
        <v>239450038.55000001</v>
      </c>
      <c r="AU169" s="4">
        <f ca="1">IFERROR(INDIRECT(ADDRESS(169,19)) / INDIRECT(ADDRESS(178,19)),0)</f>
        <v>0.13013157532395944</v>
      </c>
      <c r="AV169" s="4">
        <f ca="1">IFERROR((INDIRECT(ADDRESS(169,19)) - INDIRECT(ADDRESS(169,3)))/ INDIRECT(ADDRESS(169,3)),1)</f>
        <v>-0.35025544287987126</v>
      </c>
      <c r="AW169" s="3">
        <f ca="1">INDIRECT(ADDRESS(169,24))</f>
        <v>223559157.55000001</v>
      </c>
      <c r="AX169" s="4">
        <f ca="1">IFERROR(INDIRECT(ADDRESS(169,24)) / INDIRECT(ADDRESS(178,24)),0)</f>
        <v>0.12570782764420146</v>
      </c>
      <c r="AY169" s="4">
        <f ca="1">IFERROR((INDIRECT(ADDRESS(169,24)) - INDIRECT(ADDRESS(169,3)))/ INDIRECT(ADDRESS(169,3)),1)</f>
        <v>-0.39337514125251399</v>
      </c>
      <c r="AZ169" s="3">
        <f ca="1">INDIRECT(ADDRESS(169,29))</f>
        <v>203947084.25</v>
      </c>
      <c r="BA169" s="4">
        <f ca="1">IFERROR(INDIRECT(ADDRESS(169,29)) / INDIRECT(ADDRESS(178,29)),0)</f>
        <v>0.1194463898845337</v>
      </c>
      <c r="BB169" s="4">
        <f ca="1">IFERROR((INDIRECT(ADDRESS(169,29)) - INDIRECT(ADDRESS(169,3)))/ INDIRECT(ADDRESS(169,3)),1)</f>
        <v>-0.4465922464059765</v>
      </c>
      <c r="BC169" s="3">
        <f ca="1">INDIRECT(ADDRESS(169,34))</f>
        <v>199335895.84999999</v>
      </c>
      <c r="BD169" s="4">
        <f ca="1">IFERROR(INDIRECT(ADDRESS(169,34)) / INDIRECT(ADDRESS(178,34)),0)</f>
        <v>0.11893579869093955</v>
      </c>
      <c r="BE169" s="4">
        <f ca="1">IFERROR((INDIRECT(ADDRESS(169,34)) - INDIRECT(ADDRESS(169,3)))/ INDIRECT(ADDRESS(169,3)),1)</f>
        <v>-0.45910464599838607</v>
      </c>
    </row>
    <row r="170" spans="1:57" x14ac:dyDescent="0.25">
      <c r="A170" s="5"/>
      <c r="B170" s="1" t="s">
        <v>48</v>
      </c>
      <c r="C170">
        <v>97427065.099999994</v>
      </c>
      <c r="D170">
        <v>97160625.099999994</v>
      </c>
      <c r="E170">
        <v>103065385.09999999</v>
      </c>
      <c r="F170">
        <v>108593775.09999999</v>
      </c>
      <c r="G170">
        <v>114035315.09999999</v>
      </c>
      <c r="H170">
        <v>118756285.09999999</v>
      </c>
      <c r="I170">
        <v>121590255.09999999</v>
      </c>
      <c r="J170">
        <v>124943286.09999999</v>
      </c>
      <c r="K170">
        <v>127466428.09999999</v>
      </c>
      <c r="L170">
        <v>129215269.09999999</v>
      </c>
      <c r="M170">
        <v>130446390.09999999</v>
      </c>
      <c r="N170">
        <v>131680512.09999999</v>
      </c>
      <c r="O170">
        <v>133052911.09999999</v>
      </c>
      <c r="P170">
        <v>134543571.09999999</v>
      </c>
      <c r="Q170">
        <v>135950011.09999999</v>
      </c>
      <c r="R170">
        <v>136374491.09999999</v>
      </c>
      <c r="S170">
        <v>137141750.09999999</v>
      </c>
      <c r="T170">
        <v>137294015.09999999</v>
      </c>
      <c r="U170">
        <v>136960920.09999999</v>
      </c>
      <c r="V170">
        <v>136338275.09999999</v>
      </c>
      <c r="W170">
        <v>132642190.09999999</v>
      </c>
      <c r="X170">
        <v>129248295.09999999</v>
      </c>
      <c r="Y170">
        <v>125961541.09999999</v>
      </c>
      <c r="Z170">
        <v>122935277.09999999</v>
      </c>
      <c r="AA170">
        <v>120245553.09999999</v>
      </c>
      <c r="AB170">
        <v>117908519.09999999</v>
      </c>
      <c r="AC170">
        <v>115898625.09999999</v>
      </c>
      <c r="AD170">
        <v>114190309.09999999</v>
      </c>
      <c r="AE170">
        <v>112746904.09999999</v>
      </c>
      <c r="AF170">
        <v>111526948.09999999</v>
      </c>
      <c r="AG170">
        <v>110480702.09999999</v>
      </c>
      <c r="AH170">
        <v>109552117.09999999</v>
      </c>
      <c r="AK170" s="3" t="str">
        <f ca="1">INDIRECT(ADDRESS(170,2))</f>
        <v>Other</v>
      </c>
      <c r="AL170" s="3">
        <f ca="1">INDIRECT(ADDRESS(170,3))</f>
        <v>97427065.099999994</v>
      </c>
      <c r="AM170" s="4">
        <f ca="1">IFERROR(INDIRECT(ADDRESS(170,3)) / INDIRECT(ADDRESS(178,3)),0)</f>
        <v>4.4468055612619788E-2</v>
      </c>
      <c r="AN170" s="3">
        <f ca="1">INDIRECT(ADDRESS(170,9))</f>
        <v>121590255.09999999</v>
      </c>
      <c r="AO170" s="4">
        <f ca="1">IFERROR(INDIRECT(ADDRESS(170,9)) / INDIRECT(ADDRESS(178,9)),0)</f>
        <v>5.8134088409343261E-2</v>
      </c>
      <c r="AP170" s="4">
        <f ca="1">IFERROR((INDIRECT(ADDRESS(170,9)) - INDIRECT(ADDRESS(170,3)))/ INDIRECT(ADDRESS(170,3)),1)</f>
        <v>0.24801311601862058</v>
      </c>
      <c r="AQ170" s="3">
        <f ca="1">INDIRECT(ADDRESS(170,14))</f>
        <v>131680512.09999999</v>
      </c>
      <c r="AR170" s="4">
        <f ca="1">IFERROR(INDIRECT(ADDRESS(170,14)) / INDIRECT(ADDRESS(178,14)),0)</f>
        <v>6.9025168404165213E-2</v>
      </c>
      <c r="AS170" s="4">
        <f ca="1">IFERROR((INDIRECT(ADDRESS(170,14)) - INDIRECT(ADDRESS(170,3)))/ INDIRECT(ADDRESS(170,3)),1)</f>
        <v>0.35158040494026954</v>
      </c>
      <c r="AT170" s="3">
        <f ca="1">INDIRECT(ADDRESS(170,19))</f>
        <v>137141750.09999999</v>
      </c>
      <c r="AU170" s="4">
        <f ca="1">IFERROR(INDIRECT(ADDRESS(170,19)) / INDIRECT(ADDRESS(178,19)),0)</f>
        <v>7.4531088369280907E-2</v>
      </c>
      <c r="AV170" s="4">
        <f ca="1">IFERROR((INDIRECT(ADDRESS(170,19)) - INDIRECT(ADDRESS(170,3)))/ INDIRECT(ADDRESS(170,3)),1)</f>
        <v>0.40763503405584989</v>
      </c>
      <c r="AW170" s="3">
        <f ca="1">INDIRECT(ADDRESS(170,24))</f>
        <v>129248295.09999999</v>
      </c>
      <c r="AX170" s="4">
        <f ca="1">IFERROR(INDIRECT(ADDRESS(170,24)) / INDIRECT(ADDRESS(178,24)),0)</f>
        <v>7.2676613124666375E-2</v>
      </c>
      <c r="AY170" s="4">
        <f ca="1">IFERROR((INDIRECT(ADDRESS(170,24)) - INDIRECT(ADDRESS(170,3)))/ INDIRECT(ADDRESS(170,3)),1)</f>
        <v>0.32661591486245029</v>
      </c>
      <c r="AZ170" s="3">
        <f ca="1">INDIRECT(ADDRESS(170,29))</f>
        <v>115898625.09999999</v>
      </c>
      <c r="BA170" s="4">
        <f ca="1">IFERROR(INDIRECT(ADDRESS(170,29)) / INDIRECT(ADDRESS(178,29)),0)</f>
        <v>6.7878746154597228E-2</v>
      </c>
      <c r="BB170" s="4">
        <f ca="1">IFERROR((INDIRECT(ADDRESS(170,29)) - INDIRECT(ADDRESS(170,3)))/ INDIRECT(ADDRESS(170,3)),1)</f>
        <v>0.18959372306905303</v>
      </c>
      <c r="BC170" s="3">
        <f ca="1">INDIRECT(ADDRESS(170,34))</f>
        <v>109552117.09999999</v>
      </c>
      <c r="BD170" s="4">
        <f ca="1">IFERROR(INDIRECT(ADDRESS(170,34)) / INDIRECT(ADDRESS(178,34)),0)</f>
        <v>6.5365389861225212E-2</v>
      </c>
      <c r="BE170" s="4">
        <f ca="1">IFERROR((INDIRECT(ADDRESS(170,34)) - INDIRECT(ADDRESS(170,3)))/ INDIRECT(ADDRESS(170,3)),1)</f>
        <v>0.12445260449501112</v>
      </c>
    </row>
    <row r="171" spans="1:57" x14ac:dyDescent="0.25">
      <c r="A171" s="5"/>
      <c r="B171" s="1" t="s">
        <v>49</v>
      </c>
      <c r="C171">
        <v>11547872.9618</v>
      </c>
      <c r="D171">
        <v>11537872.561799999</v>
      </c>
      <c r="E171">
        <v>11514233.3618</v>
      </c>
      <c r="F171">
        <v>11476667.9618</v>
      </c>
      <c r="G171">
        <v>11425214.161800001</v>
      </c>
      <c r="H171">
        <v>11291282.161800001</v>
      </c>
      <c r="I171">
        <v>11192954.661800001</v>
      </c>
      <c r="J171">
        <v>11041989.661800001</v>
      </c>
      <c r="K171">
        <v>10886936.161800001</v>
      </c>
      <c r="L171">
        <v>10722631.161800001</v>
      </c>
      <c r="M171">
        <v>10507790.661800001</v>
      </c>
      <c r="N171">
        <v>10298369.4618</v>
      </c>
      <c r="O171">
        <v>10041560.8618</v>
      </c>
      <c r="P171">
        <v>9768360.6618000008</v>
      </c>
      <c r="Q171">
        <v>9489381.5618000012</v>
      </c>
      <c r="R171">
        <v>9207842.4617999997</v>
      </c>
      <c r="S171">
        <v>8998824.5617999993</v>
      </c>
      <c r="T171">
        <v>8807820.2618000004</v>
      </c>
      <c r="U171">
        <v>8643730.2618000004</v>
      </c>
      <c r="V171">
        <v>8503350.1618000008</v>
      </c>
      <c r="W171">
        <v>8372124.6617999999</v>
      </c>
      <c r="X171">
        <v>8280836.5618000003</v>
      </c>
      <c r="Y171">
        <v>8189160.9617999997</v>
      </c>
      <c r="Z171">
        <v>8111135.8618000001</v>
      </c>
      <c r="AA171">
        <v>8046630.1617999999</v>
      </c>
      <c r="AB171">
        <v>7987556.9617999997</v>
      </c>
      <c r="AC171">
        <v>7957198.7618000004</v>
      </c>
      <c r="AD171">
        <v>7925197.6617999999</v>
      </c>
      <c r="AE171">
        <v>7900118.3618000001</v>
      </c>
      <c r="AF171">
        <v>7878899.9618000006</v>
      </c>
      <c r="AG171">
        <v>7851869.9617999997</v>
      </c>
      <c r="AH171">
        <v>7840794.6617999999</v>
      </c>
      <c r="AK171" s="3" t="str">
        <f ca="1">INDIRECT(ADDRESS(171,2))</f>
        <v>Propane</v>
      </c>
      <c r="AL171" s="3">
        <f ca="1">INDIRECT(ADDRESS(171,3))</f>
        <v>11547872.9618</v>
      </c>
      <c r="AM171" s="4">
        <f ca="1">IFERROR(INDIRECT(ADDRESS(171,3)) / INDIRECT(ADDRESS(178,3)),0)</f>
        <v>5.2707269437472851E-3</v>
      </c>
      <c r="AN171" s="3">
        <f ca="1">INDIRECT(ADDRESS(171,9))</f>
        <v>11192954.661800001</v>
      </c>
      <c r="AO171" s="4">
        <f ca="1">IFERROR(INDIRECT(ADDRESS(171,9)) / INDIRECT(ADDRESS(178,9)),0)</f>
        <v>5.3515161666179614E-3</v>
      </c>
      <c r="AP171" s="4">
        <f ca="1">IFERROR((INDIRECT(ADDRESS(171,9)) - INDIRECT(ADDRESS(171,3)))/ INDIRECT(ADDRESS(171,3)),1)</f>
        <v>-3.073451718546415E-2</v>
      </c>
      <c r="AQ171" s="3">
        <f ca="1">INDIRECT(ADDRESS(171,14))</f>
        <v>10298369.4618</v>
      </c>
      <c r="AR171" s="4">
        <f ca="1">IFERROR(INDIRECT(ADDRESS(171,14)) / INDIRECT(ADDRESS(178,14)),0)</f>
        <v>5.3982679369383871E-3</v>
      </c>
      <c r="AS171" s="4">
        <f ca="1">IFERROR((INDIRECT(ADDRESS(171,14)) - INDIRECT(ADDRESS(171,3)))/ INDIRECT(ADDRESS(171,3)),1)</f>
        <v>-0.10820204760940116</v>
      </c>
      <c r="AT171" s="3">
        <f ca="1">INDIRECT(ADDRESS(171,19))</f>
        <v>8998824.5617999993</v>
      </c>
      <c r="AU171" s="4">
        <f ca="1">IFERROR(INDIRECT(ADDRESS(171,19)) / INDIRECT(ADDRESS(178,19)),0)</f>
        <v>4.8905033525248219E-3</v>
      </c>
      <c r="AV171" s="4">
        <f ca="1">IFERROR((INDIRECT(ADDRESS(171,19)) - INDIRECT(ADDRESS(171,3)))/ INDIRECT(ADDRESS(171,3)),1)</f>
        <v>-0.22073748199622323</v>
      </c>
      <c r="AW171" s="3">
        <f ca="1">INDIRECT(ADDRESS(171,24))</f>
        <v>8280836.5618000003</v>
      </c>
      <c r="AX171" s="4">
        <f ca="1">IFERROR(INDIRECT(ADDRESS(171,24)) / INDIRECT(ADDRESS(178,24)),0)</f>
        <v>4.6563334137978201E-3</v>
      </c>
      <c r="AY171" s="4">
        <f ca="1">IFERROR((INDIRECT(ADDRESS(171,24)) - INDIRECT(ADDRESS(171,3)))/ INDIRECT(ADDRESS(171,3)),1)</f>
        <v>-0.282912395278962</v>
      </c>
      <c r="AZ171" s="3">
        <f ca="1">INDIRECT(ADDRESS(171,29))</f>
        <v>7957198.7618000004</v>
      </c>
      <c r="BA171" s="4">
        <f ca="1">IFERROR(INDIRECT(ADDRESS(171,29)) / INDIRECT(ADDRESS(178,29)),0)</f>
        <v>4.6603199510595198E-3</v>
      </c>
      <c r="BB171" s="4">
        <f ca="1">IFERROR((INDIRECT(ADDRESS(171,29)) - INDIRECT(ADDRESS(171,3)))/ INDIRECT(ADDRESS(171,3)),1)</f>
        <v>-0.31093814522188079</v>
      </c>
      <c r="BC171" s="3">
        <f ca="1">INDIRECT(ADDRESS(171,34))</f>
        <v>7840794.6617999999</v>
      </c>
      <c r="BD171" s="4">
        <f ca="1">IFERROR(INDIRECT(ADDRESS(171,34)) / INDIRECT(ADDRESS(178,34)),0)</f>
        <v>4.6782902371712409E-3</v>
      </c>
      <c r="BE171" s="4">
        <f ca="1">IFERROR((INDIRECT(ADDRESS(171,34)) - INDIRECT(ADDRESS(171,3)))/ INDIRECT(ADDRESS(171,3)),1)</f>
        <v>-0.32101827862697296</v>
      </c>
    </row>
    <row r="172" spans="1:57" x14ac:dyDescent="0.25">
      <c r="A172" s="5"/>
      <c r="B172" s="1" t="s">
        <v>50</v>
      </c>
      <c r="C172">
        <v>2016918.442</v>
      </c>
      <c r="D172">
        <v>2017239.172</v>
      </c>
      <c r="E172">
        <v>2019239.605</v>
      </c>
      <c r="F172">
        <v>2021240.0279999999</v>
      </c>
      <c r="G172">
        <v>2023240.45</v>
      </c>
      <c r="H172">
        <v>2025240.8840000001</v>
      </c>
      <c r="I172">
        <v>2037073.0919999999</v>
      </c>
      <c r="J172">
        <v>2039073.5220000001</v>
      </c>
      <c r="K172">
        <v>2041073.942</v>
      </c>
      <c r="L172">
        <v>2043074.4820000001</v>
      </c>
      <c r="M172">
        <v>2045074.8119999999</v>
      </c>
      <c r="N172">
        <v>1961137.0519999999</v>
      </c>
      <c r="O172">
        <v>1963137.4620000001</v>
      </c>
      <c r="P172">
        <v>1965137.892</v>
      </c>
      <c r="Q172">
        <v>1967138.3319999999</v>
      </c>
      <c r="R172">
        <v>1969138.7520000001</v>
      </c>
      <c r="S172">
        <v>1971139.172</v>
      </c>
      <c r="T172">
        <v>1973139.612</v>
      </c>
      <c r="U172">
        <v>1975140.0419999999</v>
      </c>
      <c r="V172">
        <v>1977140.4720000001</v>
      </c>
      <c r="W172">
        <v>1977140.4720000001</v>
      </c>
      <c r="X172">
        <v>1977140.4720000001</v>
      </c>
      <c r="Y172">
        <v>1977140.4720000001</v>
      </c>
      <c r="Z172">
        <v>1977140.4720000001</v>
      </c>
      <c r="AA172">
        <v>1977140.4720000001</v>
      </c>
      <c r="AB172">
        <v>1977140.4620000001</v>
      </c>
      <c r="AC172">
        <v>1948169.7220000001</v>
      </c>
      <c r="AD172">
        <v>1948169.7220000001</v>
      </c>
      <c r="AE172">
        <v>1948169.7220000001</v>
      </c>
      <c r="AF172">
        <v>1948169.8319999999</v>
      </c>
      <c r="AG172">
        <v>1948169.7220000001</v>
      </c>
      <c r="AH172">
        <v>1948169.7220000001</v>
      </c>
      <c r="AK172" s="3" t="str">
        <f ca="1">INDIRECT(ADDRESS(172,2))</f>
        <v>RNG</v>
      </c>
      <c r="AL172" s="3">
        <f ca="1">INDIRECT(ADDRESS(172,3))</f>
        <v>2016918.442</v>
      </c>
      <c r="AM172" s="4">
        <f ca="1">IFERROR(INDIRECT(ADDRESS(172,3)) / INDIRECT(ADDRESS(178,3)),0)</f>
        <v>9.2057008340462121E-4</v>
      </c>
      <c r="AN172" s="3">
        <f ca="1">INDIRECT(ADDRESS(172,9))</f>
        <v>2037073.0919999999</v>
      </c>
      <c r="AO172" s="4">
        <f ca="1">IFERROR(INDIRECT(ADDRESS(172,9)) / INDIRECT(ADDRESS(178,9)),0)</f>
        <v>9.7395459142039613E-4</v>
      </c>
      <c r="AP172" s="4">
        <f ca="1">IFERROR((INDIRECT(ADDRESS(172,9)) - INDIRECT(ADDRESS(172,3)))/ INDIRECT(ADDRESS(172,3)),1)</f>
        <v>9.9927937492674812E-3</v>
      </c>
      <c r="AQ172" s="3">
        <f ca="1">INDIRECT(ADDRESS(172,14))</f>
        <v>1961137.0519999999</v>
      </c>
      <c r="AR172" s="4">
        <f ca="1">IFERROR(INDIRECT(ADDRESS(172,14)) / INDIRECT(ADDRESS(178,14)),0)</f>
        <v>1.0280018897188669E-3</v>
      </c>
      <c r="AS172" s="4">
        <f ca="1">IFERROR((INDIRECT(ADDRESS(172,14)) - INDIRECT(ADDRESS(172,3)))/ INDIRECT(ADDRESS(172,3)),1)</f>
        <v>-2.7656740519803394E-2</v>
      </c>
      <c r="AT172" s="3">
        <f ca="1">INDIRECT(ADDRESS(172,19))</f>
        <v>1971139.172</v>
      </c>
      <c r="AU172" s="4">
        <f ca="1">IFERROR(INDIRECT(ADDRESS(172,19)) / INDIRECT(ADDRESS(178,19)),0)</f>
        <v>1.0712357667111555E-3</v>
      </c>
      <c r="AV172" s="4">
        <f ca="1">IFERROR((INDIRECT(ADDRESS(172,19)) - INDIRECT(ADDRESS(172,3)))/ INDIRECT(ADDRESS(172,3)),1)</f>
        <v>-2.2697630725516473E-2</v>
      </c>
      <c r="AW172" s="3">
        <f ca="1">INDIRECT(ADDRESS(172,24))</f>
        <v>1977140.4720000001</v>
      </c>
      <c r="AX172" s="4">
        <f ca="1">IFERROR(INDIRECT(ADDRESS(172,24)) / INDIRECT(ADDRESS(178,24)),0)</f>
        <v>1.1117506274685419E-3</v>
      </c>
      <c r="AY172" s="4">
        <f ca="1">IFERROR((INDIRECT(ADDRESS(172,24)) - INDIRECT(ADDRESS(172,3)))/ INDIRECT(ADDRESS(172,3)),1)</f>
        <v>-1.9722150966380015E-2</v>
      </c>
      <c r="AZ172" s="3">
        <f ca="1">INDIRECT(ADDRESS(172,29))</f>
        <v>1948169.7220000001</v>
      </c>
      <c r="BA172" s="4">
        <f ca="1">IFERROR(INDIRECT(ADDRESS(172,29)) / INDIRECT(ADDRESS(178,29)),0)</f>
        <v>1.140991257761782E-3</v>
      </c>
      <c r="BB172" s="4">
        <f ca="1">IFERROR((INDIRECT(ADDRESS(172,29)) - INDIRECT(ADDRESS(172,3)))/ INDIRECT(ADDRESS(172,3)),1)</f>
        <v>-3.4086018833675763E-2</v>
      </c>
      <c r="BC172" s="3">
        <f ca="1">INDIRECT(ADDRESS(172,34))</f>
        <v>1948169.7220000001</v>
      </c>
      <c r="BD172" s="4">
        <f ca="1">IFERROR(INDIRECT(ADDRESS(172,34)) / INDIRECT(ADDRESS(178,34)),0)</f>
        <v>1.1623953672946843E-3</v>
      </c>
      <c r="BE172" s="4">
        <f ca="1">IFERROR((INDIRECT(ADDRESS(172,34)) - INDIRECT(ADDRESS(172,3)))/ INDIRECT(ADDRESS(172,3)),1)</f>
        <v>-3.4086018833675763E-2</v>
      </c>
    </row>
    <row r="173" spans="1:57" x14ac:dyDescent="0.25">
      <c r="A173" s="5"/>
      <c r="B173" s="1" t="s">
        <v>104</v>
      </c>
      <c r="C173">
        <v>441453.027</v>
      </c>
      <c r="D173">
        <v>875420.12699999998</v>
      </c>
      <c r="E173">
        <v>875420.12699999998</v>
      </c>
      <c r="F173">
        <v>875420.027</v>
      </c>
      <c r="G173">
        <v>875420.12699999998</v>
      </c>
      <c r="H173">
        <v>875420.12699999998</v>
      </c>
      <c r="I173">
        <v>890854.42700000003</v>
      </c>
      <c r="J173">
        <v>890857.24600000004</v>
      </c>
      <c r="K173">
        <v>890860.06400000001</v>
      </c>
      <c r="L173">
        <v>890862.88199999998</v>
      </c>
      <c r="M173">
        <v>890865.701</v>
      </c>
      <c r="N173">
        <v>877918.3189999999</v>
      </c>
      <c r="O173">
        <v>877924.89599999995</v>
      </c>
      <c r="P173">
        <v>877931.47199999995</v>
      </c>
      <c r="Q173">
        <v>877938.04799999995</v>
      </c>
      <c r="R173">
        <v>877944.625</v>
      </c>
      <c r="S173">
        <v>877951.201</v>
      </c>
      <c r="T173">
        <v>877961.7699999999</v>
      </c>
      <c r="U173">
        <v>877972.33899999992</v>
      </c>
      <c r="V173">
        <v>877982.90799999994</v>
      </c>
      <c r="W173">
        <v>877993.478</v>
      </c>
      <c r="X173">
        <v>878004.0469999999</v>
      </c>
      <c r="Y173">
        <v>878009.80099999998</v>
      </c>
      <c r="Z173">
        <v>878015.55499999993</v>
      </c>
      <c r="AA173">
        <v>878021.30999999994</v>
      </c>
      <c r="AB173">
        <v>878027.0639999999</v>
      </c>
      <c r="AC173">
        <v>868415.51800000004</v>
      </c>
      <c r="AD173">
        <v>868417.75</v>
      </c>
      <c r="AE173">
        <v>868419.98100000003</v>
      </c>
      <c r="AF173">
        <v>868422.21200000006</v>
      </c>
      <c r="AG173">
        <v>868424.44299999997</v>
      </c>
      <c r="AH173">
        <v>868426.67500000005</v>
      </c>
      <c r="AK173" s="3" t="str">
        <f ca="1">INDIRECT(ADDRESS(173,2))</f>
        <v>Solar</v>
      </c>
      <c r="AL173" s="3">
        <f ca="1">INDIRECT(ADDRESS(173,3))</f>
        <v>441453.027</v>
      </c>
      <c r="AM173" s="4">
        <f ca="1">IFERROR(INDIRECT(ADDRESS(173,3)) / INDIRECT(ADDRESS(178,3)),0)</f>
        <v>2.0148977837776769E-4</v>
      </c>
      <c r="AN173" s="3">
        <f ca="1">INDIRECT(ADDRESS(173,9))</f>
        <v>890854.42700000003</v>
      </c>
      <c r="AO173" s="4">
        <f ca="1">IFERROR(INDIRECT(ADDRESS(173,9)) / INDIRECT(ADDRESS(178,9)),0)</f>
        <v>4.2593059761639429E-4</v>
      </c>
      <c r="AP173" s="4">
        <f ca="1">IFERROR((INDIRECT(ADDRESS(173,9)) - INDIRECT(ADDRESS(173,3)))/ INDIRECT(ADDRESS(173,3)),1)</f>
        <v>1.0180050254814541</v>
      </c>
      <c r="AQ173" s="3">
        <f ca="1">INDIRECT(ADDRESS(173,14))</f>
        <v>877918.3189999999</v>
      </c>
      <c r="AR173" s="4">
        <f ca="1">IFERROR(INDIRECT(ADDRESS(173,14)) / INDIRECT(ADDRESS(178,14)),0)</f>
        <v>4.6019307525214763E-4</v>
      </c>
      <c r="AS173" s="4">
        <f ca="1">IFERROR((INDIRECT(ADDRESS(173,14)) - INDIRECT(ADDRESS(173,3)))/ INDIRECT(ADDRESS(173,3)),1)</f>
        <v>0.98870154989332515</v>
      </c>
      <c r="AT173" s="3">
        <f ca="1">INDIRECT(ADDRESS(173,19))</f>
        <v>877951.201</v>
      </c>
      <c r="AU173" s="4">
        <f ca="1">IFERROR(INDIRECT(ADDRESS(173,19)) / INDIRECT(ADDRESS(178,19)),0)</f>
        <v>4.7713157005750727E-4</v>
      </c>
      <c r="AV173" s="4">
        <f ca="1">IFERROR((INDIRECT(ADDRESS(173,19)) - INDIRECT(ADDRESS(173,3)))/ INDIRECT(ADDRESS(173,3)),1)</f>
        <v>0.988776035734375</v>
      </c>
      <c r="AW173" s="3">
        <f ca="1">INDIRECT(ADDRESS(173,24))</f>
        <v>878004.0469999999</v>
      </c>
      <c r="AX173" s="4">
        <f ca="1">IFERROR(INDIRECT(ADDRESS(173,24)) / INDIRECT(ADDRESS(178,24)),0)</f>
        <v>4.9370369176893214E-4</v>
      </c>
      <c r="AY173" s="4">
        <f ca="1">IFERROR((INDIRECT(ADDRESS(173,24)) - INDIRECT(ADDRESS(173,3)))/ INDIRECT(ADDRESS(173,3)),1)</f>
        <v>0.98889574495997257</v>
      </c>
      <c r="AZ173" s="3">
        <f ca="1">INDIRECT(ADDRESS(173,29))</f>
        <v>868415.51800000004</v>
      </c>
      <c r="BA173" s="4">
        <f ca="1">IFERROR(INDIRECT(ADDRESS(173,29)) / INDIRECT(ADDRESS(178,29)),0)</f>
        <v>5.0860790153614218E-4</v>
      </c>
      <c r="BB173" s="4">
        <f ca="1">IFERROR((INDIRECT(ADDRESS(173,29)) - INDIRECT(ADDRESS(173,3)))/ INDIRECT(ADDRESS(173,3)),1)</f>
        <v>0.96717536155890949</v>
      </c>
      <c r="BC173" s="3">
        <f ca="1">INDIRECT(ADDRESS(173,34))</f>
        <v>868426.67500000005</v>
      </c>
      <c r="BD173" s="4">
        <f ca="1">IFERROR(INDIRECT(ADDRESS(173,34)) / INDIRECT(ADDRESS(178,34)),0)</f>
        <v>5.1815564755765481E-4</v>
      </c>
      <c r="BE173" s="4">
        <f ca="1">IFERROR((INDIRECT(ADDRESS(173,34)) - INDIRECT(ADDRESS(173,3)))/ INDIRECT(ADDRESS(173,3)),1)</f>
        <v>0.96720063491602259</v>
      </c>
    </row>
    <row r="174" spans="1:57" x14ac:dyDescent="0.25">
      <c r="A174" s="5"/>
      <c r="B174" s="1" t="s">
        <v>105</v>
      </c>
      <c r="C174">
        <v>62627730</v>
      </c>
      <c r="D174">
        <v>62679880</v>
      </c>
      <c r="E174">
        <v>62679890</v>
      </c>
      <c r="F174">
        <v>62679880</v>
      </c>
      <c r="G174">
        <v>62679890</v>
      </c>
      <c r="H174">
        <v>62679890</v>
      </c>
      <c r="I174">
        <v>64278340</v>
      </c>
      <c r="J174">
        <v>64278340</v>
      </c>
      <c r="K174">
        <v>64278340</v>
      </c>
      <c r="L174">
        <v>64278340</v>
      </c>
      <c r="M174">
        <v>64278340</v>
      </c>
      <c r="N174">
        <v>62937160</v>
      </c>
      <c r="O174">
        <v>62937150</v>
      </c>
      <c r="P174">
        <v>62937150</v>
      </c>
      <c r="Q174">
        <v>62937150</v>
      </c>
      <c r="R174">
        <v>62937150</v>
      </c>
      <c r="S174">
        <v>62937150</v>
      </c>
      <c r="T174">
        <v>62937150</v>
      </c>
      <c r="U174">
        <v>62937150</v>
      </c>
      <c r="V174">
        <v>62937160</v>
      </c>
      <c r="W174">
        <v>62937150</v>
      </c>
      <c r="X174">
        <v>62937150</v>
      </c>
      <c r="Y174">
        <v>62937160</v>
      </c>
      <c r="Z174">
        <v>62937160</v>
      </c>
      <c r="AA174">
        <v>62937160</v>
      </c>
      <c r="AB174">
        <v>62937150</v>
      </c>
      <c r="AC174">
        <v>61941140</v>
      </c>
      <c r="AD174">
        <v>61941140</v>
      </c>
      <c r="AE174">
        <v>61941140</v>
      </c>
      <c r="AF174">
        <v>61941140</v>
      </c>
      <c r="AG174">
        <v>61941140</v>
      </c>
      <c r="AH174">
        <v>61941140</v>
      </c>
      <c r="AK174" s="3" t="str">
        <f ca="1">INDIRECT(ADDRESS(174,2))</f>
        <v>Uranium</v>
      </c>
      <c r="AL174" s="3">
        <f ca="1">INDIRECT(ADDRESS(174,3))</f>
        <v>62627730</v>
      </c>
      <c r="AM174" s="4">
        <f ca="1">IFERROR(INDIRECT(ADDRESS(174,3)) / INDIRECT(ADDRESS(178,3)),0)</f>
        <v>2.8584802156091396E-2</v>
      </c>
      <c r="AN174" s="3">
        <f ca="1">INDIRECT(ADDRESS(174,9))</f>
        <v>64278340</v>
      </c>
      <c r="AO174" s="4">
        <f ca="1">IFERROR(INDIRECT(ADDRESS(174,9)) / INDIRECT(ADDRESS(178,9)),0)</f>
        <v>3.0732419282224414E-2</v>
      </c>
      <c r="AP174" s="4">
        <f ca="1">IFERROR((INDIRECT(ADDRESS(174,9)) - INDIRECT(ADDRESS(174,3)))/ INDIRECT(ADDRESS(174,3)),1)</f>
        <v>2.6355896980458975E-2</v>
      </c>
      <c r="AQ174" s="3">
        <f ca="1">INDIRECT(ADDRESS(174,14))</f>
        <v>62937160</v>
      </c>
      <c r="AR174" s="4">
        <f ca="1">IFERROR(INDIRECT(ADDRESS(174,14)) / INDIRECT(ADDRESS(178,14)),0)</f>
        <v>3.2990819967200678E-2</v>
      </c>
      <c r="AS174" s="4">
        <f ca="1">IFERROR((INDIRECT(ADDRESS(174,14)) - INDIRECT(ADDRESS(174,3)))/ INDIRECT(ADDRESS(174,3)),1)</f>
        <v>4.9407826213723541E-3</v>
      </c>
      <c r="AT174" s="3">
        <f ca="1">INDIRECT(ADDRESS(174,19))</f>
        <v>62937150</v>
      </c>
      <c r="AU174" s="4">
        <f ca="1">IFERROR(INDIRECT(ADDRESS(174,19)) / INDIRECT(ADDRESS(178,19)),0)</f>
        <v>3.4203838619095234E-2</v>
      </c>
      <c r="AV174" s="4">
        <f ca="1">IFERROR((INDIRECT(ADDRESS(174,19)) - INDIRECT(ADDRESS(174,3)))/ INDIRECT(ADDRESS(174,3)),1)</f>
        <v>4.940622947694256E-3</v>
      </c>
      <c r="AW174" s="3">
        <f ca="1">INDIRECT(ADDRESS(174,24))</f>
        <v>62937150</v>
      </c>
      <c r="AX174" s="4">
        <f ca="1">IFERROR(INDIRECT(ADDRESS(174,24)) / INDIRECT(ADDRESS(178,24)),0)</f>
        <v>3.5389703966153874E-2</v>
      </c>
      <c r="AY174" s="4">
        <f ca="1">IFERROR((INDIRECT(ADDRESS(174,24)) - INDIRECT(ADDRESS(174,3)))/ INDIRECT(ADDRESS(174,3)),1)</f>
        <v>4.940622947694256E-3</v>
      </c>
      <c r="AZ174" s="3">
        <f ca="1">INDIRECT(ADDRESS(174,29))</f>
        <v>61941140</v>
      </c>
      <c r="BA174" s="4">
        <f ca="1">IFERROR(INDIRECT(ADDRESS(174,29)) / INDIRECT(ADDRESS(178,29)),0)</f>
        <v>3.6277280381528602E-2</v>
      </c>
      <c r="BB174" s="4">
        <f ca="1">IFERROR((INDIRECT(ADDRESS(174,29)) - INDIRECT(ADDRESS(174,3)))/ INDIRECT(ADDRESS(174,3)),1)</f>
        <v>-1.0963035064499384E-2</v>
      </c>
      <c r="BC174" s="3">
        <f ca="1">INDIRECT(ADDRESS(174,34))</f>
        <v>61941140</v>
      </c>
      <c r="BD174" s="4">
        <f ca="1">IFERROR(INDIRECT(ADDRESS(174,34)) / INDIRECT(ADDRESS(178,34)),0)</f>
        <v>3.6957813976821192E-2</v>
      </c>
      <c r="BE174" s="4">
        <f ca="1">IFERROR((INDIRECT(ADDRESS(174,34)) - INDIRECT(ADDRESS(174,3)))/ INDIRECT(ADDRESS(174,3)),1)</f>
        <v>-1.0963035064499384E-2</v>
      </c>
    </row>
    <row r="175" spans="1:57" x14ac:dyDescent="0.25">
      <c r="A175" s="5"/>
      <c r="B175" s="1" t="s">
        <v>106</v>
      </c>
      <c r="C175">
        <v>363857100</v>
      </c>
      <c r="D175">
        <v>364100300</v>
      </c>
      <c r="E175">
        <v>364100300</v>
      </c>
      <c r="F175">
        <v>364100300</v>
      </c>
      <c r="G175">
        <v>364100300</v>
      </c>
      <c r="H175">
        <v>364100300</v>
      </c>
      <c r="I175">
        <v>374913700</v>
      </c>
      <c r="J175">
        <v>374913700</v>
      </c>
      <c r="K175">
        <v>374913700</v>
      </c>
      <c r="L175">
        <v>374913700</v>
      </c>
      <c r="M175">
        <v>374913700</v>
      </c>
      <c r="N175">
        <v>361308900</v>
      </c>
      <c r="O175">
        <v>361308900</v>
      </c>
      <c r="P175">
        <v>361308900</v>
      </c>
      <c r="Q175">
        <v>361308900</v>
      </c>
      <c r="R175">
        <v>361308900</v>
      </c>
      <c r="S175">
        <v>361308900</v>
      </c>
      <c r="T175">
        <v>361308900</v>
      </c>
      <c r="U175">
        <v>361308900</v>
      </c>
      <c r="V175">
        <v>361308900</v>
      </c>
      <c r="W175">
        <v>361308900</v>
      </c>
      <c r="X175">
        <v>361308900</v>
      </c>
      <c r="Y175">
        <v>361308900</v>
      </c>
      <c r="Z175">
        <v>361308900</v>
      </c>
      <c r="AA175">
        <v>361308900</v>
      </c>
      <c r="AB175">
        <v>361308900</v>
      </c>
      <c r="AC175">
        <v>353505700</v>
      </c>
      <c r="AD175">
        <v>353505700</v>
      </c>
      <c r="AE175">
        <v>353505700</v>
      </c>
      <c r="AF175">
        <v>353505700</v>
      </c>
      <c r="AG175">
        <v>353505700</v>
      </c>
      <c r="AH175">
        <v>353505700</v>
      </c>
      <c r="AK175" s="3" t="str">
        <f ca="1">INDIRECT(ADDRESS(175,2))</f>
        <v>Water</v>
      </c>
      <c r="AL175" s="3">
        <f ca="1">INDIRECT(ADDRESS(175,3))</f>
        <v>363857100</v>
      </c>
      <c r="AM175" s="4">
        <f ca="1">IFERROR(INDIRECT(ADDRESS(175,3)) / INDIRECT(ADDRESS(178,3)),0)</f>
        <v>0.16607313112880129</v>
      </c>
      <c r="AN175" s="3">
        <f ca="1">INDIRECT(ADDRESS(175,9))</f>
        <v>374913700</v>
      </c>
      <c r="AO175" s="4">
        <f ca="1">IFERROR(INDIRECT(ADDRESS(175,9)) / INDIRECT(ADDRESS(178,9)),0)</f>
        <v>0.17925175141501942</v>
      </c>
      <c r="AP175" s="4">
        <f ca="1">IFERROR((INDIRECT(ADDRESS(175,9)) - INDIRECT(ADDRESS(175,3)))/ INDIRECT(ADDRESS(175,3)),1)</f>
        <v>3.0387204207366025E-2</v>
      </c>
      <c r="AQ175" s="3">
        <f ca="1">INDIRECT(ADDRESS(175,14))</f>
        <v>361308900</v>
      </c>
      <c r="AR175" s="4">
        <f ca="1">IFERROR(INDIRECT(ADDRESS(175,14)) / INDIRECT(ADDRESS(178,14)),0)</f>
        <v>0.1893933071089848</v>
      </c>
      <c r="AS175" s="4">
        <f ca="1">IFERROR((INDIRECT(ADDRESS(175,14)) - INDIRECT(ADDRESS(175,3)))/ INDIRECT(ADDRESS(175,3)),1)</f>
        <v>-7.0032988225322522E-3</v>
      </c>
      <c r="AT175" s="3">
        <f ca="1">INDIRECT(ADDRESS(175,19))</f>
        <v>361308900</v>
      </c>
      <c r="AU175" s="4">
        <f ca="1">IFERROR(INDIRECT(ADDRESS(175,19)) / INDIRECT(ADDRESS(178,19)),0)</f>
        <v>0.19635702136564523</v>
      </c>
      <c r="AV175" s="4">
        <f ca="1">IFERROR((INDIRECT(ADDRESS(175,19)) - INDIRECT(ADDRESS(175,3)))/ INDIRECT(ADDRESS(175,3)),1)</f>
        <v>-7.0032988225322522E-3</v>
      </c>
      <c r="AW175" s="3">
        <f ca="1">INDIRECT(ADDRESS(175,24))</f>
        <v>361308900</v>
      </c>
      <c r="AX175" s="4">
        <f ca="1">IFERROR(INDIRECT(ADDRESS(175,24)) / INDIRECT(ADDRESS(178,24)),0)</f>
        <v>0.20316482413545409</v>
      </c>
      <c r="AY175" s="4">
        <f ca="1">IFERROR((INDIRECT(ADDRESS(175,24)) - INDIRECT(ADDRESS(175,3)))/ INDIRECT(ADDRESS(175,3)),1)</f>
        <v>-7.0032988225322522E-3</v>
      </c>
      <c r="AZ175" s="3">
        <f ca="1">INDIRECT(ADDRESS(175,29))</f>
        <v>353505700</v>
      </c>
      <c r="BA175" s="4">
        <f ca="1">IFERROR(INDIRECT(ADDRESS(175,29)) / INDIRECT(ADDRESS(178,29)),0)</f>
        <v>0.20703889846664972</v>
      </c>
      <c r="BB175" s="4">
        <f ca="1">IFERROR((INDIRECT(ADDRESS(175,29)) - INDIRECT(ADDRESS(175,3)))/ INDIRECT(ADDRESS(175,3)),1)</f>
        <v>-2.844908069679003E-2</v>
      </c>
      <c r="BC175" s="3">
        <f ca="1">INDIRECT(ADDRESS(175,34))</f>
        <v>353505700</v>
      </c>
      <c r="BD175" s="4">
        <f ca="1">IFERROR(INDIRECT(ADDRESS(175,34)) / INDIRECT(ADDRESS(178,34)),0)</f>
        <v>0.21092278734853701</v>
      </c>
      <c r="BE175" s="4">
        <f ca="1">IFERROR((INDIRECT(ADDRESS(175,34)) - INDIRECT(ADDRESS(175,3)))/ INDIRECT(ADDRESS(175,3)),1)</f>
        <v>-2.844908069679003E-2</v>
      </c>
    </row>
    <row r="176" spans="1:57" x14ac:dyDescent="0.25">
      <c r="A176" s="5"/>
      <c r="B176" s="1" t="s">
        <v>107</v>
      </c>
      <c r="C176">
        <v>43192630</v>
      </c>
      <c r="D176">
        <v>42283730</v>
      </c>
      <c r="E176">
        <v>42283730</v>
      </c>
      <c r="F176">
        <v>42283730</v>
      </c>
      <c r="G176">
        <v>42283730</v>
      </c>
      <c r="H176">
        <v>42283730</v>
      </c>
      <c r="I176">
        <v>43310320</v>
      </c>
      <c r="J176">
        <v>43310320</v>
      </c>
      <c r="K176">
        <v>43310320</v>
      </c>
      <c r="L176">
        <v>43310320</v>
      </c>
      <c r="M176">
        <v>43310320</v>
      </c>
      <c r="N176">
        <v>45191080</v>
      </c>
      <c r="O176">
        <v>45191080</v>
      </c>
      <c r="P176">
        <v>45191080</v>
      </c>
      <c r="Q176">
        <v>45191080</v>
      </c>
      <c r="R176">
        <v>45191080</v>
      </c>
      <c r="S176">
        <v>45191080</v>
      </c>
      <c r="T176">
        <v>45191080</v>
      </c>
      <c r="U176">
        <v>45191080</v>
      </c>
      <c r="V176">
        <v>45191080</v>
      </c>
      <c r="W176">
        <v>45191080</v>
      </c>
      <c r="X176">
        <v>45191080</v>
      </c>
      <c r="Y176">
        <v>45191080</v>
      </c>
      <c r="Z176">
        <v>45191080</v>
      </c>
      <c r="AA176">
        <v>45191080</v>
      </c>
      <c r="AB176">
        <v>45191080</v>
      </c>
      <c r="AC176">
        <v>45456160</v>
      </c>
      <c r="AD176">
        <v>45456160</v>
      </c>
      <c r="AE176">
        <v>45456160</v>
      </c>
      <c r="AF176">
        <v>45456160</v>
      </c>
      <c r="AG176">
        <v>45456160</v>
      </c>
      <c r="AH176">
        <v>45456160</v>
      </c>
      <c r="AK176" s="3" t="str">
        <f ca="1">INDIRECT(ADDRESS(176,2))</f>
        <v>Wind</v>
      </c>
      <c r="AL176" s="3">
        <f ca="1">INDIRECT(ADDRESS(176,3))</f>
        <v>43192630</v>
      </c>
      <c r="AM176" s="4">
        <f ca="1">IFERROR(INDIRECT(ADDRESS(176,3)) / INDIRECT(ADDRESS(178,3)),0)</f>
        <v>1.9714155105913275E-2</v>
      </c>
      <c r="AN176" s="3">
        <f ca="1">INDIRECT(ADDRESS(176,9))</f>
        <v>43310320</v>
      </c>
      <c r="AO176" s="4">
        <f ca="1">IFERROR(INDIRECT(ADDRESS(176,9)) / INDIRECT(ADDRESS(178,9)),0)</f>
        <v>2.0707300678382636E-2</v>
      </c>
      <c r="AP176" s="4">
        <f ca="1">IFERROR((INDIRECT(ADDRESS(176,9)) - INDIRECT(ADDRESS(176,3)))/ INDIRECT(ADDRESS(176,3)),1)</f>
        <v>2.7247704064327642E-3</v>
      </c>
      <c r="AQ176" s="3">
        <f ca="1">INDIRECT(ADDRESS(176,14))</f>
        <v>45191080</v>
      </c>
      <c r="AR176" s="4">
        <f ca="1">IFERROR(INDIRECT(ADDRESS(176,14)) / INDIRECT(ADDRESS(178,14)),0)</f>
        <v>2.3688561485827504E-2</v>
      </c>
      <c r="AS176" s="4">
        <f ca="1">IFERROR((INDIRECT(ADDRESS(176,14)) - INDIRECT(ADDRESS(176,3)))/ INDIRECT(ADDRESS(176,3)),1)</f>
        <v>4.6268310126056228E-2</v>
      </c>
      <c r="AT176" s="3">
        <f ca="1">INDIRECT(ADDRESS(176,19))</f>
        <v>45191080</v>
      </c>
      <c r="AU176" s="4">
        <f ca="1">IFERROR(INDIRECT(ADDRESS(176,19)) / INDIRECT(ADDRESS(178,19)),0)</f>
        <v>2.4559555164837019E-2</v>
      </c>
      <c r="AV176" s="4">
        <f ca="1">IFERROR((INDIRECT(ADDRESS(176,19)) - INDIRECT(ADDRESS(176,3)))/ INDIRECT(ADDRESS(176,3)),1)</f>
        <v>4.6268310126056228E-2</v>
      </c>
      <c r="AW176" s="3">
        <f ca="1">INDIRECT(ADDRESS(176,24))</f>
        <v>45191080</v>
      </c>
      <c r="AX176" s="4">
        <f ca="1">IFERROR(INDIRECT(ADDRESS(176,24)) / INDIRECT(ADDRESS(178,24)),0)</f>
        <v>2.5411048055254758E-2</v>
      </c>
      <c r="AY176" s="4">
        <f ca="1">IFERROR((INDIRECT(ADDRESS(176,24)) - INDIRECT(ADDRESS(176,3)))/ INDIRECT(ADDRESS(176,3)),1)</f>
        <v>4.6268310126056228E-2</v>
      </c>
      <c r="AZ176" s="3">
        <f ca="1">INDIRECT(ADDRESS(176,29))</f>
        <v>45456160</v>
      </c>
      <c r="BA176" s="4">
        <f ca="1">IFERROR(INDIRECT(ADDRESS(176,29)) / INDIRECT(ADDRESS(178,29)),0)</f>
        <v>2.662246547912462E-2</v>
      </c>
      <c r="BB176" s="4">
        <f ca="1">IFERROR((INDIRECT(ADDRESS(176,29)) - INDIRECT(ADDRESS(176,3)))/ INDIRECT(ADDRESS(176,3)),1)</f>
        <v>5.2405468247708004E-2</v>
      </c>
      <c r="BC176" s="3">
        <f ca="1">INDIRECT(ADDRESS(176,34))</f>
        <v>45456160</v>
      </c>
      <c r="BD176" s="4">
        <f ca="1">IFERROR(INDIRECT(ADDRESS(176,34)) / INDIRECT(ADDRESS(178,34)),0)</f>
        <v>2.7121882247898899E-2</v>
      </c>
      <c r="BE176" s="4">
        <f ca="1">IFERROR((INDIRECT(ADDRESS(176,34)) - INDIRECT(ADDRESS(176,3)))/ INDIRECT(ADDRESS(176,3)),1)</f>
        <v>5.2405468247708004E-2</v>
      </c>
    </row>
    <row r="177" spans="1:57" x14ac:dyDescent="0.25">
      <c r="A177" s="5"/>
      <c r="B177" s="1" t="s">
        <v>51</v>
      </c>
      <c r="C177">
        <v>125996294</v>
      </c>
      <c r="D177">
        <v>126012722</v>
      </c>
      <c r="E177">
        <v>125936447</v>
      </c>
      <c r="F177">
        <v>125829619</v>
      </c>
      <c r="G177">
        <v>125697437</v>
      </c>
      <c r="H177">
        <v>125551851</v>
      </c>
      <c r="I177">
        <v>126451974</v>
      </c>
      <c r="J177">
        <v>126313126</v>
      </c>
      <c r="K177">
        <v>126164708</v>
      </c>
      <c r="L177">
        <v>125995509</v>
      </c>
      <c r="M177">
        <v>125792939</v>
      </c>
      <c r="N177">
        <v>124340852</v>
      </c>
      <c r="O177">
        <v>124097963</v>
      </c>
      <c r="P177">
        <v>123827717</v>
      </c>
      <c r="Q177">
        <v>123545310</v>
      </c>
      <c r="R177">
        <v>123266364</v>
      </c>
      <c r="S177">
        <v>123026739</v>
      </c>
      <c r="T177">
        <v>122886820</v>
      </c>
      <c r="U177">
        <v>122790792</v>
      </c>
      <c r="V177">
        <v>122735481</v>
      </c>
      <c r="W177">
        <v>122714667</v>
      </c>
      <c r="X177">
        <v>122721350</v>
      </c>
      <c r="Y177">
        <v>122681790</v>
      </c>
      <c r="Z177">
        <v>122659575</v>
      </c>
      <c r="AA177">
        <v>122653764</v>
      </c>
      <c r="AB177">
        <v>122664748</v>
      </c>
      <c r="AC177">
        <v>121963079</v>
      </c>
      <c r="AD177">
        <v>121955868</v>
      </c>
      <c r="AE177">
        <v>121959409</v>
      </c>
      <c r="AF177">
        <v>121969514</v>
      </c>
      <c r="AG177">
        <v>121982827</v>
      </c>
      <c r="AH177">
        <v>121997504</v>
      </c>
      <c r="AK177" s="3" t="str">
        <f ca="1">INDIRECT(ADDRESS(177,2))</f>
        <v>Wood</v>
      </c>
      <c r="AL177" s="3">
        <f ca="1">INDIRECT(ADDRESS(177,3))</f>
        <v>125996294</v>
      </c>
      <c r="AM177" s="4">
        <f ca="1">IFERROR(INDIRECT(ADDRESS(177,3)) / INDIRECT(ADDRESS(178,3)),0)</f>
        <v>5.7507738766688903E-2</v>
      </c>
      <c r="AN177" s="3">
        <f ca="1">INDIRECT(ADDRESS(177,9))</f>
        <v>126451974</v>
      </c>
      <c r="AO177" s="4">
        <f ca="1">IFERROR(INDIRECT(ADDRESS(177,9)) / INDIRECT(ADDRESS(178,9)),0)</f>
        <v>6.0458547685471348E-2</v>
      </c>
      <c r="AP177" s="4">
        <f ca="1">IFERROR((INDIRECT(ADDRESS(177,9)) - INDIRECT(ADDRESS(177,3)))/ INDIRECT(ADDRESS(177,3)),1)</f>
        <v>3.616614310893938E-3</v>
      </c>
      <c r="AQ177" s="3">
        <f ca="1">INDIRECT(ADDRESS(177,14))</f>
        <v>124340852</v>
      </c>
      <c r="AR177" s="4">
        <f ca="1">IFERROR(INDIRECT(ADDRESS(177,14)) / INDIRECT(ADDRESS(178,14)),0)</f>
        <v>6.5177816458517432E-2</v>
      </c>
      <c r="AS177" s="4">
        <f ca="1">IFERROR((INDIRECT(ADDRESS(177,14)) - INDIRECT(ADDRESS(177,3)))/ INDIRECT(ADDRESS(177,3)),1)</f>
        <v>-1.3138815019432239E-2</v>
      </c>
      <c r="AT177" s="3">
        <f ca="1">INDIRECT(ADDRESS(177,19))</f>
        <v>123026739</v>
      </c>
      <c r="AU177" s="4">
        <f ca="1">IFERROR(INDIRECT(ADDRESS(177,19)) / INDIRECT(ADDRESS(178,19)),0)</f>
        <v>6.686014105483884E-2</v>
      </c>
      <c r="AV177" s="4">
        <f ca="1">IFERROR((INDIRECT(ADDRESS(177,19)) - INDIRECT(ADDRESS(177,3)))/ INDIRECT(ADDRESS(177,3)),1)</f>
        <v>-2.356859004122772E-2</v>
      </c>
      <c r="AW177" s="3">
        <f ca="1">INDIRECT(ADDRESS(177,24))</f>
        <v>122721350</v>
      </c>
      <c r="AX177" s="4">
        <f ca="1">IFERROR(INDIRECT(ADDRESS(177,24)) / INDIRECT(ADDRESS(178,24)),0)</f>
        <v>6.900649690725999E-2</v>
      </c>
      <c r="AY177" s="4">
        <f ca="1">IFERROR((INDIRECT(ADDRESS(177,24)) - INDIRECT(ADDRESS(177,3)))/ INDIRECT(ADDRESS(177,3)),1)</f>
        <v>-2.5992383553757541E-2</v>
      </c>
      <c r="AZ177" s="3">
        <f ca="1">INDIRECT(ADDRESS(177,29))</f>
        <v>121963079</v>
      </c>
      <c r="BA177" s="4">
        <f ca="1">IFERROR(INDIRECT(ADDRESS(177,29)) / INDIRECT(ADDRESS(178,29)),0)</f>
        <v>7.1430535716286839E-2</v>
      </c>
      <c r="BB177" s="4">
        <f ca="1">IFERROR((INDIRECT(ADDRESS(177,29)) - INDIRECT(ADDRESS(177,3)))/ INDIRECT(ADDRESS(177,3)),1)</f>
        <v>-3.201058437480709E-2</v>
      </c>
      <c r="BC177" s="3">
        <f ca="1">INDIRECT(ADDRESS(177,34))</f>
        <v>121997504</v>
      </c>
      <c r="BD177" s="4">
        <f ca="1">IFERROR(INDIRECT(ADDRESS(177,34)) / INDIRECT(ADDRESS(178,34)),0)</f>
        <v>7.2791057098214512E-2</v>
      </c>
      <c r="BE177" s="4">
        <f ca="1">IFERROR((INDIRECT(ADDRESS(177,34)) - INDIRECT(ADDRESS(177,3)))/ INDIRECT(ADDRESS(177,3)),1)</f>
        <v>-3.1737362052887047E-2</v>
      </c>
    </row>
    <row r="178" spans="1:57" x14ac:dyDescent="0.25">
      <c r="A178" s="1" t="s">
        <v>21</v>
      </c>
      <c r="B178" s="1"/>
      <c r="C178">
        <v>2190945022.3937998</v>
      </c>
      <c r="D178">
        <v>2180636661.7838001</v>
      </c>
      <c r="E178">
        <v>2179056878.5458002</v>
      </c>
      <c r="F178">
        <v>2174794566.3778</v>
      </c>
      <c r="G178">
        <v>2171697413.8518</v>
      </c>
      <c r="H178">
        <v>2159103427.4298</v>
      </c>
      <c r="I178">
        <v>2091548322.6268001</v>
      </c>
      <c r="J178">
        <v>2072983646.3608</v>
      </c>
      <c r="K178">
        <v>2052231607.6027999</v>
      </c>
      <c r="L178">
        <v>2030295404.5838001</v>
      </c>
      <c r="M178">
        <v>2007466139.0548</v>
      </c>
      <c r="N178">
        <v>1907717360.8468001</v>
      </c>
      <c r="O178">
        <v>1891738719.8676</v>
      </c>
      <c r="P178">
        <v>1878303284.95</v>
      </c>
      <c r="Q178">
        <v>1866019052.2890999</v>
      </c>
      <c r="R178">
        <v>1849700495.7165101</v>
      </c>
      <c r="S178">
        <v>1840061014.8143899</v>
      </c>
      <c r="T178">
        <v>1827958293.2783599</v>
      </c>
      <c r="U178">
        <v>1815183805.003</v>
      </c>
      <c r="V178">
        <v>1802302415.96556</v>
      </c>
      <c r="W178">
        <v>1788660528.3218801</v>
      </c>
      <c r="X178">
        <v>1778402838.865</v>
      </c>
      <c r="Y178">
        <v>1766766500.7379301</v>
      </c>
      <c r="Z178">
        <v>1755747733.7311001</v>
      </c>
      <c r="AA178">
        <v>1745574276.56617</v>
      </c>
      <c r="AB178">
        <v>1734996016.85709</v>
      </c>
      <c r="AC178">
        <v>1707436151.4579999</v>
      </c>
      <c r="AD178">
        <v>1699799398.1256199</v>
      </c>
      <c r="AE178">
        <v>1692959379.31372</v>
      </c>
      <c r="AF178">
        <v>1686811462.27631</v>
      </c>
      <c r="AG178">
        <v>1679856497.23756</v>
      </c>
      <c r="AH178">
        <v>1675995772.8789799</v>
      </c>
    </row>
    <row r="179" spans="1:57" x14ac:dyDescent="0.25">
      <c r="A179" s="5" t="s">
        <v>4</v>
      </c>
      <c r="B179" s="1" t="s">
        <v>100</v>
      </c>
      <c r="C179">
        <v>52357190</v>
      </c>
      <c r="D179">
        <v>52357190</v>
      </c>
      <c r="E179">
        <v>52357190</v>
      </c>
      <c r="F179">
        <v>52357190</v>
      </c>
      <c r="G179">
        <v>52357190</v>
      </c>
      <c r="H179">
        <v>52357190</v>
      </c>
      <c r="I179">
        <v>52357190</v>
      </c>
      <c r="J179">
        <v>52357190</v>
      </c>
      <c r="K179">
        <v>52357190</v>
      </c>
      <c r="L179">
        <v>52357190</v>
      </c>
      <c r="M179">
        <v>52357190</v>
      </c>
      <c r="N179">
        <v>52357190</v>
      </c>
      <c r="O179">
        <v>52357190</v>
      </c>
      <c r="P179">
        <v>52357190</v>
      </c>
      <c r="Q179">
        <v>52357190</v>
      </c>
      <c r="R179">
        <v>52357190</v>
      </c>
      <c r="S179">
        <v>52357190</v>
      </c>
      <c r="T179">
        <v>52357190</v>
      </c>
      <c r="U179">
        <v>52357190</v>
      </c>
      <c r="V179">
        <v>52357190</v>
      </c>
      <c r="W179">
        <v>52357190</v>
      </c>
      <c r="X179">
        <v>52357190</v>
      </c>
      <c r="Y179">
        <v>52357190</v>
      </c>
      <c r="Z179">
        <v>52357190</v>
      </c>
      <c r="AA179">
        <v>52357190</v>
      </c>
      <c r="AB179">
        <v>52357190</v>
      </c>
      <c r="AC179">
        <v>52357190</v>
      </c>
      <c r="AD179">
        <v>52357190</v>
      </c>
      <c r="AE179">
        <v>52357190</v>
      </c>
      <c r="AF179">
        <v>52357190</v>
      </c>
      <c r="AG179">
        <v>52357190</v>
      </c>
      <c r="AH179">
        <v>52357190</v>
      </c>
      <c r="AK179" s="3" t="str">
        <f ca="1">INDIRECT(ADDRESS(179,2))</f>
        <v>Chp</v>
      </c>
      <c r="AL179" s="3">
        <f ca="1">INDIRECT(ADDRESS(179,3))</f>
        <v>52357190</v>
      </c>
      <c r="AM179" s="4">
        <f ca="1">IFERROR(INDIRECT(ADDRESS(179,3)) / INDIRECT(ADDRESS(196,3)),0)</f>
        <v>2.389708069570599E-2</v>
      </c>
      <c r="AN179" s="3">
        <f ca="1">INDIRECT(ADDRESS(179,9))</f>
        <v>52357190</v>
      </c>
      <c r="AO179" s="4">
        <f ca="1">IFERROR(INDIRECT(ADDRESS(179,9)) / INDIRECT(ADDRESS(196,9)),0)</f>
        <v>2.4126461732530038E-2</v>
      </c>
      <c r="AP179" s="4">
        <f ca="1">IFERROR((INDIRECT(ADDRESS(179,9)) - INDIRECT(ADDRESS(179,3)))/ INDIRECT(ADDRESS(179,3)),1)</f>
        <v>0</v>
      </c>
      <c r="AQ179" s="3">
        <f ca="1">INDIRECT(ADDRESS(179,14))</f>
        <v>52357190</v>
      </c>
      <c r="AR179" s="4">
        <f ca="1">IFERROR(INDIRECT(ADDRESS(179,14)) / INDIRECT(ADDRESS(196,14)),0)</f>
        <v>2.4594367414217683E-2</v>
      </c>
      <c r="AS179" s="4">
        <f ca="1">IFERROR((INDIRECT(ADDRESS(179,14)) - INDIRECT(ADDRESS(179,3)))/ INDIRECT(ADDRESS(179,3)),1)</f>
        <v>0</v>
      </c>
      <c r="AT179" s="3">
        <f ca="1">INDIRECT(ADDRESS(179,19))</f>
        <v>52357190</v>
      </c>
      <c r="AU179" s="4">
        <f ca="1">IFERROR(INDIRECT(ADDRESS(179,19)) / INDIRECT(ADDRESS(196,19)),0)</f>
        <v>2.4581343737435844E-2</v>
      </c>
      <c r="AV179" s="4">
        <f ca="1">IFERROR((INDIRECT(ADDRESS(179,19)) - INDIRECT(ADDRESS(179,3)))/ INDIRECT(ADDRESS(179,3)),1)</f>
        <v>0</v>
      </c>
      <c r="AW179" s="3">
        <f ca="1">INDIRECT(ADDRESS(179,24))</f>
        <v>52357190</v>
      </c>
      <c r="AX179" s="4">
        <f ca="1">IFERROR(INDIRECT(ADDRESS(179,24)) / INDIRECT(ADDRESS(196,24)),0)</f>
        <v>2.4490640939247129E-2</v>
      </c>
      <c r="AY179" s="4">
        <f ca="1">IFERROR((INDIRECT(ADDRESS(179,24)) - INDIRECT(ADDRESS(179,3)))/ INDIRECT(ADDRESS(179,3)),1)</f>
        <v>0</v>
      </c>
      <c r="AZ179" s="3">
        <f ca="1">INDIRECT(ADDRESS(179,29))</f>
        <v>52357190</v>
      </c>
      <c r="BA179" s="4">
        <f ca="1">IFERROR(INDIRECT(ADDRESS(179,29)) / INDIRECT(ADDRESS(196,29)),0)</f>
        <v>2.439728411217738E-2</v>
      </c>
      <c r="BB179" s="4">
        <f ca="1">IFERROR((INDIRECT(ADDRESS(179,29)) - INDIRECT(ADDRESS(179,3)))/ INDIRECT(ADDRESS(179,3)),1)</f>
        <v>0</v>
      </c>
      <c r="BC179" s="3">
        <f ca="1">INDIRECT(ADDRESS(179,34))</f>
        <v>52357190</v>
      </c>
      <c r="BD179" s="4">
        <f ca="1">IFERROR(INDIRECT(ADDRESS(179,34)) / INDIRECT(ADDRESS(196,34)),0)</f>
        <v>2.4259603541590704E-2</v>
      </c>
      <c r="BE179" s="4">
        <f ca="1">IFERROR((INDIRECT(ADDRESS(179,34)) - INDIRECT(ADDRESS(179,3)))/ INDIRECT(ADDRESS(179,3)),1)</f>
        <v>0</v>
      </c>
    </row>
    <row r="180" spans="1:57" x14ac:dyDescent="0.25">
      <c r="A180" s="5"/>
      <c r="B180" s="1" t="s">
        <v>40</v>
      </c>
      <c r="C180">
        <v>67364420</v>
      </c>
      <c r="D180">
        <v>67364420</v>
      </c>
      <c r="E180">
        <v>67364420</v>
      </c>
      <c r="F180">
        <v>67364420</v>
      </c>
      <c r="G180">
        <v>67364420</v>
      </c>
      <c r="H180">
        <v>67364420</v>
      </c>
      <c r="I180">
        <v>67364420</v>
      </c>
      <c r="J180">
        <v>67365255</v>
      </c>
      <c r="K180">
        <v>67366091</v>
      </c>
      <c r="L180">
        <v>67366926</v>
      </c>
      <c r="M180">
        <v>67367761</v>
      </c>
      <c r="N180">
        <v>67368597</v>
      </c>
      <c r="O180">
        <v>67370546</v>
      </c>
      <c r="P180">
        <v>67372495</v>
      </c>
      <c r="Q180">
        <v>67374445</v>
      </c>
      <c r="R180">
        <v>67376394</v>
      </c>
      <c r="S180">
        <v>67378343</v>
      </c>
      <c r="T180">
        <v>67381476</v>
      </c>
      <c r="U180">
        <v>67384608</v>
      </c>
      <c r="V180">
        <v>67387741</v>
      </c>
      <c r="W180">
        <v>67390874</v>
      </c>
      <c r="X180">
        <v>67394006</v>
      </c>
      <c r="Y180">
        <v>67395712</v>
      </c>
      <c r="Z180">
        <v>67397418</v>
      </c>
      <c r="AA180">
        <v>67399123</v>
      </c>
      <c r="AB180">
        <v>67400829</v>
      </c>
      <c r="AC180">
        <v>67402534</v>
      </c>
      <c r="AD180">
        <v>67403196</v>
      </c>
      <c r="AE180">
        <v>67403857</v>
      </c>
      <c r="AF180">
        <v>67404518</v>
      </c>
      <c r="AG180">
        <v>67405180</v>
      </c>
      <c r="AH180">
        <v>67405841</v>
      </c>
      <c r="AK180" s="3" t="str">
        <f ca="1">INDIRECT(ADDRESS(180,2))</f>
        <v>Coal</v>
      </c>
      <c r="AL180" s="3">
        <f ca="1">INDIRECT(ADDRESS(180,3))</f>
        <v>67364420</v>
      </c>
      <c r="AM180" s="4">
        <f ca="1">IFERROR(INDIRECT(ADDRESS(180,3)) / INDIRECT(ADDRESS(196,3)),0)</f>
        <v>3.0746741388516657E-2</v>
      </c>
      <c r="AN180" s="3">
        <f ca="1">INDIRECT(ADDRESS(180,9))</f>
        <v>67364420</v>
      </c>
      <c r="AO180" s="4">
        <f ca="1">IFERROR(INDIRECT(ADDRESS(180,9)) / INDIRECT(ADDRESS(196,9)),0)</f>
        <v>3.1041870300222013E-2</v>
      </c>
      <c r="AP180" s="4">
        <f ca="1">IFERROR((INDIRECT(ADDRESS(180,9)) - INDIRECT(ADDRESS(180,3)))/ INDIRECT(ADDRESS(180,3)),1)</f>
        <v>0</v>
      </c>
      <c r="AQ180" s="3">
        <f ca="1">INDIRECT(ADDRESS(180,14))</f>
        <v>67368597</v>
      </c>
      <c r="AR180" s="4">
        <f ca="1">IFERROR(INDIRECT(ADDRESS(180,14)) / INDIRECT(ADDRESS(196,14)),0)</f>
        <v>3.1645854691559325E-2</v>
      </c>
      <c r="AS180" s="4">
        <f ca="1">IFERROR((INDIRECT(ADDRESS(180,14)) - INDIRECT(ADDRESS(180,3)))/ INDIRECT(ADDRESS(180,3)),1)</f>
        <v>6.2006026326657301E-5</v>
      </c>
      <c r="AT180" s="3">
        <f ca="1">INDIRECT(ADDRESS(180,19))</f>
        <v>67378343</v>
      </c>
      <c r="AU180" s="4">
        <f ca="1">IFERROR(INDIRECT(ADDRESS(180,19)) / INDIRECT(ADDRESS(196,19)),0)</f>
        <v>3.1633672657792641E-2</v>
      </c>
      <c r="AV180" s="4">
        <f ca="1">IFERROR((INDIRECT(ADDRESS(180,19)) - INDIRECT(ADDRESS(180,3)))/ INDIRECT(ADDRESS(180,3)),1)</f>
        <v>2.0668180621164704E-4</v>
      </c>
      <c r="AW180" s="3">
        <f ca="1">INDIRECT(ADDRESS(180,24))</f>
        <v>67394006</v>
      </c>
      <c r="AX180" s="4">
        <f ca="1">IFERROR(INDIRECT(ADDRESS(180,24)) / INDIRECT(ADDRESS(196,24)),0)</f>
        <v>3.1524273980392502E-2</v>
      </c>
      <c r="AY180" s="4">
        <f ca="1">IFERROR((INDIRECT(ADDRESS(180,24)) - INDIRECT(ADDRESS(180,3)))/ INDIRECT(ADDRESS(180,3)),1)</f>
        <v>4.3919327146288797E-4</v>
      </c>
      <c r="AZ180" s="3">
        <f ca="1">INDIRECT(ADDRESS(180,29))</f>
        <v>67402534</v>
      </c>
      <c r="BA180" s="4">
        <f ca="1">IFERROR(INDIRECT(ADDRESS(180,29)) / INDIRECT(ADDRESS(196,29)),0)</f>
        <v>3.1408079231881915E-2</v>
      </c>
      <c r="BB180" s="4">
        <f ca="1">IFERROR((INDIRECT(ADDRESS(180,29)) - INDIRECT(ADDRESS(180,3)))/ INDIRECT(ADDRESS(180,3)),1)</f>
        <v>5.6578829002016198E-4</v>
      </c>
      <c r="BC180" s="3">
        <f ca="1">INDIRECT(ADDRESS(180,34))</f>
        <v>67405841</v>
      </c>
      <c r="BD180" s="4">
        <f ca="1">IFERROR(INDIRECT(ADDRESS(180,34)) / INDIRECT(ADDRESS(196,34)),0)</f>
        <v>3.1232367112282E-2</v>
      </c>
      <c r="BE180" s="4">
        <f ca="1">IFERROR((INDIRECT(ADDRESS(180,34)) - INDIRECT(ADDRESS(180,3)))/ INDIRECT(ADDRESS(180,3)),1)</f>
        <v>6.148794868270223E-4</v>
      </c>
    </row>
    <row r="181" spans="1:57" x14ac:dyDescent="0.25">
      <c r="A181" s="5"/>
      <c r="B181" s="1" t="s">
        <v>41</v>
      </c>
      <c r="C181">
        <v>216163500</v>
      </c>
      <c r="D181">
        <v>208234600</v>
      </c>
      <c r="E181">
        <v>208094400</v>
      </c>
      <c r="F181">
        <v>207368900</v>
      </c>
      <c r="G181">
        <v>206898500</v>
      </c>
      <c r="H181">
        <v>206207300</v>
      </c>
      <c r="I181">
        <v>206199000</v>
      </c>
      <c r="J181">
        <v>204966600</v>
      </c>
      <c r="K181">
        <v>204093400</v>
      </c>
      <c r="L181">
        <v>203347100</v>
      </c>
      <c r="M181">
        <v>202689800</v>
      </c>
      <c r="N181">
        <v>202334800</v>
      </c>
      <c r="O181">
        <v>202022300</v>
      </c>
      <c r="P181">
        <v>201920600</v>
      </c>
      <c r="Q181">
        <v>201806400</v>
      </c>
      <c r="R181">
        <v>201570000</v>
      </c>
      <c r="S181">
        <v>201635800</v>
      </c>
      <c r="T181">
        <v>201671100</v>
      </c>
      <c r="U181">
        <v>201737200</v>
      </c>
      <c r="V181">
        <v>201847600</v>
      </c>
      <c r="W181">
        <v>202032200</v>
      </c>
      <c r="X181">
        <v>202284800</v>
      </c>
      <c r="Y181">
        <v>202494700</v>
      </c>
      <c r="Z181">
        <v>202716100</v>
      </c>
      <c r="AA181">
        <v>202950500</v>
      </c>
      <c r="AB181">
        <v>203204700</v>
      </c>
      <c r="AC181">
        <v>203483100</v>
      </c>
      <c r="AD181">
        <v>203822900</v>
      </c>
      <c r="AE181">
        <v>204196100</v>
      </c>
      <c r="AF181">
        <v>204602200</v>
      </c>
      <c r="AG181">
        <v>205037000</v>
      </c>
      <c r="AH181">
        <v>205485600</v>
      </c>
      <c r="AK181" s="3" t="str">
        <f ca="1">INDIRECT(ADDRESS(181,2))</f>
        <v>Diesel</v>
      </c>
      <c r="AL181" s="3">
        <f ca="1">INDIRECT(ADDRESS(181,3))</f>
        <v>216163500</v>
      </c>
      <c r="AM181" s="4">
        <f ca="1">IFERROR(INDIRECT(ADDRESS(181,3)) / INDIRECT(ADDRESS(196,3)),0)</f>
        <v>9.866222008794287E-2</v>
      </c>
      <c r="AN181" s="3">
        <f ca="1">INDIRECT(ADDRESS(181,9))</f>
        <v>206199000</v>
      </c>
      <c r="AO181" s="4">
        <f ca="1">IFERROR(INDIRECT(ADDRESS(181,9)) / INDIRECT(ADDRESS(196,9)),0)</f>
        <v>9.5017556954182625E-2</v>
      </c>
      <c r="AP181" s="4">
        <f ca="1">IFERROR((INDIRECT(ADDRESS(181,9)) - INDIRECT(ADDRESS(181,3)))/ INDIRECT(ADDRESS(181,3)),1)</f>
        <v>-4.6097051537377955E-2</v>
      </c>
      <c r="AQ181" s="3">
        <f ca="1">INDIRECT(ADDRESS(181,14))</f>
        <v>202334800</v>
      </c>
      <c r="AR181" s="4">
        <f ca="1">IFERROR(INDIRECT(ADDRESS(181,14)) / INDIRECT(ADDRESS(196,14)),0)</f>
        <v>9.5045139204037732E-2</v>
      </c>
      <c r="AS181" s="4">
        <f ca="1">IFERROR((INDIRECT(ADDRESS(181,14)) - INDIRECT(ADDRESS(181,3)))/ INDIRECT(ADDRESS(181,3)),1)</f>
        <v>-6.3973334998739376E-2</v>
      </c>
      <c r="AT181" s="3">
        <f ca="1">INDIRECT(ADDRESS(181,19))</f>
        <v>201635800</v>
      </c>
      <c r="AU181" s="4">
        <f ca="1">IFERROR(INDIRECT(ADDRESS(181,19)) / INDIRECT(ADDRESS(196,19)),0)</f>
        <v>9.4666633361585414E-2</v>
      </c>
      <c r="AV181" s="4">
        <f ca="1">IFERROR((INDIRECT(ADDRESS(181,19)) - INDIRECT(ADDRESS(181,3)))/ INDIRECT(ADDRESS(181,3)),1)</f>
        <v>-6.7206998406298929E-2</v>
      </c>
      <c r="AW181" s="3">
        <f ca="1">INDIRECT(ADDRESS(181,24))</f>
        <v>202284800</v>
      </c>
      <c r="AX181" s="4">
        <f ca="1">IFERROR(INDIRECT(ADDRESS(181,24)) / INDIRECT(ADDRESS(196,24)),0)</f>
        <v>9.4620899331446504E-2</v>
      </c>
      <c r="AY181" s="4">
        <f ca="1">IFERROR((INDIRECT(ADDRESS(181,24)) - INDIRECT(ADDRESS(181,3)))/ INDIRECT(ADDRESS(181,3)),1)</f>
        <v>-6.4204641394129902E-2</v>
      </c>
      <c r="AZ181" s="3">
        <f ca="1">INDIRECT(ADDRESS(181,29))</f>
        <v>203483100</v>
      </c>
      <c r="BA181" s="4">
        <f ca="1">IFERROR(INDIRECT(ADDRESS(181,29)) / INDIRECT(ADDRESS(196,29)),0)</f>
        <v>9.4818591347751877E-2</v>
      </c>
      <c r="BB181" s="4">
        <f ca="1">IFERROR((INDIRECT(ADDRESS(181,29)) - INDIRECT(ADDRESS(181,3)))/ INDIRECT(ADDRESS(181,3)),1)</f>
        <v>-5.8661152322200559E-2</v>
      </c>
      <c r="BC181" s="3">
        <f ca="1">INDIRECT(ADDRESS(181,34))</f>
        <v>205485600</v>
      </c>
      <c r="BD181" s="4">
        <f ca="1">IFERROR(INDIRECT(ADDRESS(181,34)) / INDIRECT(ADDRESS(196,34)),0)</f>
        <v>9.5211358545137556E-2</v>
      </c>
      <c r="BE181" s="4">
        <f ca="1">IFERROR((INDIRECT(ADDRESS(181,34)) - INDIRECT(ADDRESS(181,3)))/ INDIRECT(ADDRESS(181,3)),1)</f>
        <v>-4.9397331186809987E-2</v>
      </c>
    </row>
    <row r="182" spans="1:57" x14ac:dyDescent="0.25">
      <c r="A182" s="5"/>
      <c r="B182" s="1" t="s">
        <v>42</v>
      </c>
      <c r="C182">
        <v>93733824.84300001</v>
      </c>
      <c r="D182">
        <v>93726812.722000003</v>
      </c>
      <c r="E182">
        <v>93704452.985000014</v>
      </c>
      <c r="F182">
        <v>93705252.394000009</v>
      </c>
      <c r="G182">
        <v>93708618.947000012</v>
      </c>
      <c r="H182">
        <v>93713942.644000009</v>
      </c>
      <c r="I182">
        <v>93720392.487000003</v>
      </c>
      <c r="J182">
        <v>93777924.288000003</v>
      </c>
      <c r="K182">
        <v>93835706.730000004</v>
      </c>
      <c r="L182">
        <v>93893512.825000003</v>
      </c>
      <c r="M182">
        <v>93951118.560000002</v>
      </c>
      <c r="N182">
        <v>94008521.967000008</v>
      </c>
      <c r="O182">
        <v>94134007.096000001</v>
      </c>
      <c r="P182">
        <v>94259343.134000003</v>
      </c>
      <c r="Q182">
        <v>94384573.082000002</v>
      </c>
      <c r="R182">
        <v>94509681.941000015</v>
      </c>
      <c r="S182">
        <v>94634691.709000006</v>
      </c>
      <c r="T182">
        <v>94830899.411000013</v>
      </c>
      <c r="U182">
        <v>95027030.083000004</v>
      </c>
      <c r="V182">
        <v>95223062.735000014</v>
      </c>
      <c r="W182">
        <v>95419015.376000002</v>
      </c>
      <c r="X182">
        <v>95614869.987000003</v>
      </c>
      <c r="Y182">
        <v>95718616.726000011</v>
      </c>
      <c r="Z182">
        <v>95822281.131000012</v>
      </c>
      <c r="AA182">
        <v>95925876.203000009</v>
      </c>
      <c r="AB182">
        <v>96029409.940000013</v>
      </c>
      <c r="AC182">
        <v>96132890.344000012</v>
      </c>
      <c r="AD182">
        <v>96167838.274000004</v>
      </c>
      <c r="AE182">
        <v>96203129.844000012</v>
      </c>
      <c r="AF182">
        <v>96238703.06400001</v>
      </c>
      <c r="AG182">
        <v>96274610.915000007</v>
      </c>
      <c r="AH182">
        <v>96310448.405000001</v>
      </c>
      <c r="AK182" s="3" t="str">
        <f ca="1">INDIRECT(ADDRESS(182,2))</f>
        <v>Fuel Oil</v>
      </c>
      <c r="AL182" s="3">
        <f ca="1">INDIRECT(ADDRESS(182,3))</f>
        <v>93733824.84300001</v>
      </c>
      <c r="AM182" s="4">
        <f ca="1">IFERROR(INDIRECT(ADDRESS(182,3)) / INDIRECT(ADDRESS(196,3)),0)</f>
        <v>4.2782371937652539E-2</v>
      </c>
      <c r="AN182" s="3">
        <f ca="1">INDIRECT(ADDRESS(182,9))</f>
        <v>93720392.487000003</v>
      </c>
      <c r="AO182" s="4">
        <f ca="1">IFERROR(INDIRECT(ADDRESS(182,9)) / INDIRECT(ADDRESS(196,9)),0)</f>
        <v>4.3186837622402982E-2</v>
      </c>
      <c r="AP182" s="4">
        <f ca="1">IFERROR((INDIRECT(ADDRESS(182,9)) - INDIRECT(ADDRESS(182,3)))/ INDIRECT(ADDRESS(182,3)),1)</f>
        <v>-1.4330318881689507E-4</v>
      </c>
      <c r="AQ182" s="3">
        <f ca="1">INDIRECT(ADDRESS(182,14))</f>
        <v>94008521.967000008</v>
      </c>
      <c r="AR182" s="4">
        <f ca="1">IFERROR(INDIRECT(ADDRESS(182,14)) / INDIRECT(ADDRESS(196,14)),0)</f>
        <v>4.4159744427154174E-2</v>
      </c>
      <c r="AS182" s="4">
        <f ca="1">IFERROR((INDIRECT(ADDRESS(182,14)) - INDIRECT(ADDRESS(182,3)))/ INDIRECT(ADDRESS(182,3)),1)</f>
        <v>2.9306082885244837E-3</v>
      </c>
      <c r="AT182" s="3">
        <f ca="1">INDIRECT(ADDRESS(182,19))</f>
        <v>94634691.709000006</v>
      </c>
      <c r="AU182" s="4">
        <f ca="1">IFERROR(INDIRECT(ADDRESS(182,19)) / INDIRECT(ADDRESS(196,19)),0)</f>
        <v>4.4430342544838623E-2</v>
      </c>
      <c r="AV182" s="4">
        <f ca="1">IFERROR((INDIRECT(ADDRESS(182,19)) - INDIRECT(ADDRESS(182,3)))/ INDIRECT(ADDRESS(182,3)),1)</f>
        <v>9.6109047882011502E-3</v>
      </c>
      <c r="AW182" s="3">
        <f ca="1">INDIRECT(ADDRESS(182,24))</f>
        <v>95614869.987000003</v>
      </c>
      <c r="AX182" s="4">
        <f ca="1">IFERROR(INDIRECT(ADDRESS(182,24)) / INDIRECT(ADDRESS(196,24)),0)</f>
        <v>4.4724887819694178E-2</v>
      </c>
      <c r="AY182" s="4">
        <f ca="1">IFERROR((INDIRECT(ADDRESS(182,24)) - INDIRECT(ADDRESS(182,3)))/ INDIRECT(ADDRESS(182,3)),1)</f>
        <v>2.0067943958871418E-2</v>
      </c>
      <c r="AZ182" s="3">
        <f ca="1">INDIRECT(ADDRESS(182,29))</f>
        <v>96132890.344000012</v>
      </c>
      <c r="BA182" s="4">
        <f ca="1">IFERROR(INDIRECT(ADDRESS(182,29)) / INDIRECT(ADDRESS(196,29)),0)</f>
        <v>4.4795785225436306E-2</v>
      </c>
      <c r="BB182" s="4">
        <f ca="1">IFERROR((INDIRECT(ADDRESS(182,29)) - INDIRECT(ADDRESS(182,3)))/ INDIRECT(ADDRESS(182,3)),1)</f>
        <v>2.5594447948948312E-2</v>
      </c>
      <c r="BC182" s="3">
        <f ca="1">INDIRECT(ADDRESS(182,34))</f>
        <v>96310448.405000001</v>
      </c>
      <c r="BD182" s="4">
        <f ca="1">IFERROR(INDIRECT(ADDRESS(182,34)) / INDIRECT(ADDRESS(196,34)),0)</f>
        <v>4.4625261501202163E-2</v>
      </c>
      <c r="BE182" s="4">
        <f ca="1">IFERROR((INDIRECT(ADDRESS(182,34)) - INDIRECT(ADDRESS(182,3)))/ INDIRECT(ADDRESS(182,3)),1)</f>
        <v>2.7488727429140138E-2</v>
      </c>
    </row>
    <row r="183" spans="1:57" x14ac:dyDescent="0.25">
      <c r="A183" s="5"/>
      <c r="B183" s="1" t="s">
        <v>43</v>
      </c>
      <c r="C183">
        <v>344926100</v>
      </c>
      <c r="D183">
        <v>345294300</v>
      </c>
      <c r="E183">
        <v>345435400</v>
      </c>
      <c r="F183">
        <v>342830300</v>
      </c>
      <c r="G183">
        <v>340987600</v>
      </c>
      <c r="H183">
        <v>336020000</v>
      </c>
      <c r="I183">
        <v>318642000</v>
      </c>
      <c r="J183">
        <v>310223400</v>
      </c>
      <c r="K183">
        <v>300516600</v>
      </c>
      <c r="L183">
        <v>290756700</v>
      </c>
      <c r="M183">
        <v>282183200</v>
      </c>
      <c r="N183">
        <v>276995800</v>
      </c>
      <c r="O183">
        <v>274163800</v>
      </c>
      <c r="P183">
        <v>273341900</v>
      </c>
      <c r="Q183">
        <v>273579800</v>
      </c>
      <c r="R183">
        <v>272276400</v>
      </c>
      <c r="S183">
        <v>273016100</v>
      </c>
      <c r="T183">
        <v>273188400</v>
      </c>
      <c r="U183">
        <v>273305200</v>
      </c>
      <c r="V183">
        <v>273558000</v>
      </c>
      <c r="W183">
        <v>274175400</v>
      </c>
      <c r="X183">
        <v>275112900</v>
      </c>
      <c r="Y183">
        <v>275826500</v>
      </c>
      <c r="Z183">
        <v>276406500</v>
      </c>
      <c r="AA183">
        <v>276909300</v>
      </c>
      <c r="AB183">
        <v>277458800</v>
      </c>
      <c r="AC183">
        <v>278147500</v>
      </c>
      <c r="AD183">
        <v>279032500</v>
      </c>
      <c r="AE183">
        <v>280189600</v>
      </c>
      <c r="AF183">
        <v>281635700</v>
      </c>
      <c r="AG183">
        <v>283340700</v>
      </c>
      <c r="AH183">
        <v>285171200</v>
      </c>
      <c r="AK183" s="3" t="str">
        <f ca="1">INDIRECT(ADDRESS(183,2))</f>
        <v>Gasoline</v>
      </c>
      <c r="AL183" s="3">
        <f ca="1">INDIRECT(ADDRESS(183,3))</f>
        <v>344926100</v>
      </c>
      <c r="AM183" s="4">
        <f ca="1">IFERROR(INDIRECT(ADDRESS(183,3)) / INDIRECT(ADDRESS(196,3)),0)</f>
        <v>0.15743256744212503</v>
      </c>
      <c r="AN183" s="3">
        <f ca="1">INDIRECT(ADDRESS(183,9))</f>
        <v>318642000</v>
      </c>
      <c r="AO183" s="4">
        <f ca="1">IFERROR(INDIRECT(ADDRESS(183,9)) / INDIRECT(ADDRESS(196,9)),0)</f>
        <v>0.14683186816131338</v>
      </c>
      <c r="AP183" s="4">
        <f ca="1">IFERROR((INDIRECT(ADDRESS(183,9)) - INDIRECT(ADDRESS(183,3)))/ INDIRECT(ADDRESS(183,3)),1)</f>
        <v>-7.6202119816389649E-2</v>
      </c>
      <c r="AQ183" s="3">
        <f ca="1">INDIRECT(ADDRESS(183,14))</f>
        <v>276995800</v>
      </c>
      <c r="AR183" s="4">
        <f ca="1">IFERROR(INDIRECT(ADDRESS(183,14)) / INDIRECT(ADDRESS(196,14)),0)</f>
        <v>0.13011654134599582</v>
      </c>
      <c r="AS183" s="4">
        <f ca="1">IFERROR((INDIRECT(ADDRESS(183,14)) - INDIRECT(ADDRESS(183,3)))/ INDIRECT(ADDRESS(183,3)),1)</f>
        <v>-0.19694160575265252</v>
      </c>
      <c r="AT183" s="3">
        <f ca="1">INDIRECT(ADDRESS(183,19))</f>
        <v>273016100</v>
      </c>
      <c r="AU183" s="4">
        <f ca="1">IFERROR(INDIRECT(ADDRESS(183,19)) / INDIRECT(ADDRESS(196,19)),0)</f>
        <v>0.12817919754582244</v>
      </c>
      <c r="AV183" s="4">
        <f ca="1">IFERROR((INDIRECT(ADDRESS(183,19)) - INDIRECT(ADDRESS(183,3)))/ INDIRECT(ADDRESS(183,3)),1)</f>
        <v>-0.20847943950892669</v>
      </c>
      <c r="AW183" s="3">
        <f ca="1">INDIRECT(ADDRESS(183,24))</f>
        <v>275112900</v>
      </c>
      <c r="AX183" s="4">
        <f ca="1">IFERROR(INDIRECT(ADDRESS(183,24)) / INDIRECT(ADDRESS(196,24)),0)</f>
        <v>0.12868702945392985</v>
      </c>
      <c r="AY183" s="4">
        <f ca="1">IFERROR((INDIRECT(ADDRESS(183,24)) - INDIRECT(ADDRESS(183,3)))/ INDIRECT(ADDRESS(183,3)),1)</f>
        <v>-0.20240045621366431</v>
      </c>
      <c r="AZ183" s="3">
        <f ca="1">INDIRECT(ADDRESS(183,29))</f>
        <v>278147500</v>
      </c>
      <c r="BA183" s="4">
        <f ca="1">IFERROR(INDIRECT(ADDRESS(183,29)) / INDIRECT(ADDRESS(196,29)),0)</f>
        <v>0.12961053835379358</v>
      </c>
      <c r="BB183" s="4">
        <f ca="1">IFERROR((INDIRECT(ADDRESS(183,29)) - INDIRECT(ADDRESS(183,3)))/ INDIRECT(ADDRESS(183,3)),1)</f>
        <v>-0.19360262966473107</v>
      </c>
      <c r="BC183" s="3">
        <f ca="1">INDIRECT(ADDRESS(183,34))</f>
        <v>285171200</v>
      </c>
      <c r="BD183" s="4">
        <f ca="1">IFERROR(INDIRECT(ADDRESS(183,34)) / INDIRECT(ADDRESS(196,34)),0)</f>
        <v>0.13213352843190537</v>
      </c>
      <c r="BE183" s="4">
        <f ca="1">IFERROR((INDIRECT(ADDRESS(183,34)) - INDIRECT(ADDRESS(183,3)))/ INDIRECT(ADDRESS(183,3)),1)</f>
        <v>-0.17323971714520878</v>
      </c>
    </row>
    <row r="184" spans="1:57" x14ac:dyDescent="0.25">
      <c r="A184" s="5"/>
      <c r="B184" s="1" t="s">
        <v>101</v>
      </c>
      <c r="C184">
        <v>18826570</v>
      </c>
      <c r="D184">
        <v>18905040</v>
      </c>
      <c r="E184">
        <v>18907690</v>
      </c>
      <c r="F184">
        <v>18947970</v>
      </c>
      <c r="G184">
        <v>18989570</v>
      </c>
      <c r="H184">
        <v>19031230</v>
      </c>
      <c r="I184">
        <v>19071720</v>
      </c>
      <c r="J184">
        <v>19096240</v>
      </c>
      <c r="K184">
        <v>19120330</v>
      </c>
      <c r="L184">
        <v>19143800</v>
      </c>
      <c r="M184">
        <v>19165880</v>
      </c>
      <c r="N184">
        <v>19186540</v>
      </c>
      <c r="O184">
        <v>19200990</v>
      </c>
      <c r="P184">
        <v>19214330</v>
      </c>
      <c r="Q184">
        <v>19226660</v>
      </c>
      <c r="R184">
        <v>19238020</v>
      </c>
      <c r="S184">
        <v>19248390</v>
      </c>
      <c r="T184">
        <v>19242380</v>
      </c>
      <c r="U184">
        <v>19235490</v>
      </c>
      <c r="V184">
        <v>19227710</v>
      </c>
      <c r="W184">
        <v>19219040</v>
      </c>
      <c r="X184">
        <v>19209490</v>
      </c>
      <c r="Y184">
        <v>19179550</v>
      </c>
      <c r="Z184">
        <v>19148890</v>
      </c>
      <c r="AA184">
        <v>19117520</v>
      </c>
      <c r="AB184">
        <v>19085490</v>
      </c>
      <c r="AC184">
        <v>19054990</v>
      </c>
      <c r="AD184">
        <v>19019630</v>
      </c>
      <c r="AE184">
        <v>18986400</v>
      </c>
      <c r="AF184">
        <v>18954890</v>
      </c>
      <c r="AG184">
        <v>18923900</v>
      </c>
      <c r="AH184">
        <v>18892820</v>
      </c>
      <c r="AK184" s="3" t="str">
        <f ca="1">INDIRECT(ADDRESS(184,2))</f>
        <v>Geothermal</v>
      </c>
      <c r="AL184" s="3">
        <f ca="1">INDIRECT(ADDRESS(184,3))</f>
        <v>18826570</v>
      </c>
      <c r="AM184" s="4">
        <f ca="1">IFERROR(INDIRECT(ADDRESS(184,3)) / INDIRECT(ADDRESS(196,3)),0)</f>
        <v>8.5928993231561418E-3</v>
      </c>
      <c r="AN184" s="3">
        <f ca="1">INDIRECT(ADDRESS(184,9))</f>
        <v>19071720</v>
      </c>
      <c r="AO184" s="4">
        <f ca="1">IFERROR(INDIRECT(ADDRESS(184,9)) / INDIRECT(ADDRESS(196,9)),0)</f>
        <v>8.7883464096054006E-3</v>
      </c>
      <c r="AP184" s="4">
        <f ca="1">IFERROR((INDIRECT(ADDRESS(184,9)) - INDIRECT(ADDRESS(184,3)))/ INDIRECT(ADDRESS(184,3)),1)</f>
        <v>1.3021490372383286E-2</v>
      </c>
      <c r="AQ184" s="3">
        <f ca="1">INDIRECT(ADDRESS(184,14))</f>
        <v>19186540</v>
      </c>
      <c r="AR184" s="4">
        <f ca="1">IFERROR(INDIRECT(ADDRESS(184,14)) / INDIRECT(ADDRESS(196,14)),0)</f>
        <v>9.0127223055244971E-3</v>
      </c>
      <c r="AS184" s="4">
        <f ca="1">IFERROR((INDIRECT(ADDRESS(184,14)) - INDIRECT(ADDRESS(184,3)))/ INDIRECT(ADDRESS(184,3)),1)</f>
        <v>1.9120317721178101E-2</v>
      </c>
      <c r="AT184" s="3">
        <f ca="1">INDIRECT(ADDRESS(184,19))</f>
        <v>19248390</v>
      </c>
      <c r="AU184" s="4">
        <f ca="1">IFERROR(INDIRECT(ADDRESS(184,19)) / INDIRECT(ADDRESS(196,19)),0)</f>
        <v>9.0369878708582863E-3</v>
      </c>
      <c r="AV184" s="4">
        <f ca="1">IFERROR((INDIRECT(ADDRESS(184,19)) - INDIRECT(ADDRESS(184,3)))/ INDIRECT(ADDRESS(184,3)),1)</f>
        <v>2.2405568300545454E-2</v>
      </c>
      <c r="AW184" s="3">
        <f ca="1">INDIRECT(ADDRESS(184,24))</f>
        <v>19209490</v>
      </c>
      <c r="AX184" s="4">
        <f ca="1">IFERROR(INDIRECT(ADDRESS(184,24)) / INDIRECT(ADDRESS(196,24)),0)</f>
        <v>8.9854463582949799E-3</v>
      </c>
      <c r="AY184" s="4">
        <f ca="1">IFERROR((INDIRECT(ADDRESS(184,24)) - INDIRECT(ADDRESS(184,3)))/ INDIRECT(ADDRESS(184,3)),1)</f>
        <v>2.0339339561056529E-2</v>
      </c>
      <c r="AZ184" s="3">
        <f ca="1">INDIRECT(ADDRESS(184,29))</f>
        <v>19054990</v>
      </c>
      <c r="BA184" s="4">
        <f ca="1">IFERROR(INDIRECT(ADDRESS(184,29)) / INDIRECT(ADDRESS(196,29)),0)</f>
        <v>8.8792008277124648E-3</v>
      </c>
      <c r="BB184" s="4">
        <f ca="1">IFERROR((INDIRECT(ADDRESS(184,29)) - INDIRECT(ADDRESS(184,3)))/ INDIRECT(ADDRESS(184,3)),1)</f>
        <v>1.2132852665142933E-2</v>
      </c>
      <c r="BC184" s="3">
        <f ca="1">INDIRECT(ADDRESS(184,34))</f>
        <v>18892820</v>
      </c>
      <c r="BD184" s="4">
        <f ca="1">IFERROR(INDIRECT(ADDRESS(184,34)) / INDIRECT(ADDRESS(196,34)),0)</f>
        <v>8.7539519019763229E-3</v>
      </c>
      <c r="BE184" s="4">
        <f ca="1">IFERROR((INDIRECT(ADDRESS(184,34)) - INDIRECT(ADDRESS(184,3)))/ INDIRECT(ADDRESS(184,3)),1)</f>
        <v>3.5189628275357648E-3</v>
      </c>
    </row>
    <row r="185" spans="1:57" x14ac:dyDescent="0.25">
      <c r="A185" s="5"/>
      <c r="B185" s="1" t="s">
        <v>44</v>
      </c>
      <c r="C185">
        <v>321326760.80000001</v>
      </c>
      <c r="D185">
        <v>322562504.60000002</v>
      </c>
      <c r="E185">
        <v>324713226</v>
      </c>
      <c r="F185">
        <v>327257769.10000002</v>
      </c>
      <c r="G185">
        <v>329878523.10000002</v>
      </c>
      <c r="H185">
        <v>332505587.10000002</v>
      </c>
      <c r="I185">
        <v>335290466.10000002</v>
      </c>
      <c r="J185">
        <v>336587517.5</v>
      </c>
      <c r="K185">
        <v>337908474.89999998</v>
      </c>
      <c r="L185">
        <v>339196956.30000001</v>
      </c>
      <c r="M185">
        <v>340443722.39999998</v>
      </c>
      <c r="N185">
        <v>341661883.30000001</v>
      </c>
      <c r="O185">
        <v>342578381.39999998</v>
      </c>
      <c r="P185">
        <v>343481057.5</v>
      </c>
      <c r="Q185">
        <v>344452354.80000001</v>
      </c>
      <c r="R185">
        <v>345421213.10000002</v>
      </c>
      <c r="S185">
        <v>346417469.60000002</v>
      </c>
      <c r="T185">
        <v>347238729.5</v>
      </c>
      <c r="U185">
        <v>348057708.30000001</v>
      </c>
      <c r="V185">
        <v>348877656.19999999</v>
      </c>
      <c r="W185">
        <v>349701457.10000002</v>
      </c>
      <c r="X185">
        <v>350527598</v>
      </c>
      <c r="Y185">
        <v>351376080.60000002</v>
      </c>
      <c r="Z185">
        <v>352220452.19999999</v>
      </c>
      <c r="AA185">
        <v>353061457.80000001</v>
      </c>
      <c r="AB185">
        <v>353900876.39999998</v>
      </c>
      <c r="AC185">
        <v>354743507</v>
      </c>
      <c r="AD185">
        <v>355546889.60000002</v>
      </c>
      <c r="AE185">
        <v>356356275.30000001</v>
      </c>
      <c r="AF185">
        <v>357170882.89999998</v>
      </c>
      <c r="AG185">
        <v>357989221.5</v>
      </c>
      <c r="AH185">
        <v>358808146.10000002</v>
      </c>
      <c r="AK185" s="3" t="str">
        <f ca="1">INDIRECT(ADDRESS(185,2))</f>
        <v>Grid Electricity</v>
      </c>
      <c r="AL185" s="3">
        <f ca="1">INDIRECT(ADDRESS(185,3))</f>
        <v>321326760.80000001</v>
      </c>
      <c r="AM185" s="4">
        <f ca="1">IFERROR(INDIRECT(ADDRESS(185,3)) / INDIRECT(ADDRESS(196,3)),0)</f>
        <v>0.14666126147196626</v>
      </c>
      <c r="AN185" s="3">
        <f ca="1">INDIRECT(ADDRESS(185,9))</f>
        <v>335290466.10000002</v>
      </c>
      <c r="AO185" s="4">
        <f ca="1">IFERROR(INDIRECT(ADDRESS(185,9)) / INDIRECT(ADDRESS(196,9)),0)</f>
        <v>0.15450356674305496</v>
      </c>
      <c r="AP185" s="4">
        <f ca="1">IFERROR((INDIRECT(ADDRESS(185,9)) - INDIRECT(ADDRESS(185,3)))/ INDIRECT(ADDRESS(185,3)),1)</f>
        <v>4.3456403273835299E-2</v>
      </c>
      <c r="AQ185" s="3">
        <f ca="1">INDIRECT(ADDRESS(185,14))</f>
        <v>341661883.30000001</v>
      </c>
      <c r="AR185" s="4">
        <f ca="1">IFERROR(INDIRECT(ADDRESS(185,14)) / INDIRECT(ADDRESS(196,14)),0)</f>
        <v>0.16049291203965999</v>
      </c>
      <c r="AS185" s="4">
        <f ca="1">IFERROR((INDIRECT(ADDRESS(185,14)) - INDIRECT(ADDRESS(185,3)))/ INDIRECT(ADDRESS(185,3)),1)</f>
        <v>6.3284870669881657E-2</v>
      </c>
      <c r="AT185" s="3">
        <f ca="1">INDIRECT(ADDRESS(185,19))</f>
        <v>346417469.60000002</v>
      </c>
      <c r="AU185" s="4">
        <f ca="1">IFERROR(INDIRECT(ADDRESS(185,19)) / INDIRECT(ADDRESS(196,19)),0)</f>
        <v>0.16264064012775195</v>
      </c>
      <c r="AV185" s="4">
        <f ca="1">IFERROR((INDIRECT(ADDRESS(185,19)) - INDIRECT(ADDRESS(185,3)))/ INDIRECT(ADDRESS(185,3)),1)</f>
        <v>7.8084715812440392E-2</v>
      </c>
      <c r="AW185" s="3">
        <f ca="1">INDIRECT(ADDRESS(185,24))</f>
        <v>350527598</v>
      </c>
      <c r="AX185" s="4">
        <f ca="1">IFERROR(INDIRECT(ADDRESS(185,24)) / INDIRECT(ADDRESS(196,24)),0)</f>
        <v>0.16396306871921049</v>
      </c>
      <c r="AY185" s="4">
        <f ca="1">IFERROR((INDIRECT(ADDRESS(185,24)) - INDIRECT(ADDRESS(185,3)))/ INDIRECT(ADDRESS(185,3)),1)</f>
        <v>9.0875833457815094E-2</v>
      </c>
      <c r="AZ185" s="3">
        <f ca="1">INDIRECT(ADDRESS(185,29))</f>
        <v>354743507</v>
      </c>
      <c r="BA185" s="4">
        <f ca="1">IFERROR(INDIRECT(ADDRESS(185,29)) / INDIRECT(ADDRESS(196,29)),0)</f>
        <v>0.16530257118896535</v>
      </c>
      <c r="BB185" s="4">
        <f ca="1">IFERROR((INDIRECT(ADDRESS(185,29)) - INDIRECT(ADDRESS(185,3)))/ INDIRECT(ADDRESS(185,3)),1)</f>
        <v>0.10399615057520596</v>
      </c>
      <c r="BC185" s="3">
        <f ca="1">INDIRECT(ADDRESS(185,34))</f>
        <v>358808146.10000002</v>
      </c>
      <c r="BD185" s="4">
        <f ca="1">IFERROR(INDIRECT(ADDRESS(185,34)) / INDIRECT(ADDRESS(196,34)),0)</f>
        <v>0.16625306613817808</v>
      </c>
      <c r="BE185" s="4">
        <f ca="1">IFERROR((INDIRECT(ADDRESS(185,34)) - INDIRECT(ADDRESS(185,3)))/ INDIRECT(ADDRESS(185,3)),1)</f>
        <v>0.11664570111335716</v>
      </c>
    </row>
    <row r="186" spans="1:57" x14ac:dyDescent="0.25">
      <c r="A186" s="5"/>
      <c r="B186" s="1" t="s">
        <v>103</v>
      </c>
      <c r="C186">
        <v>610090.47</v>
      </c>
      <c r="D186">
        <v>610090.45299999998</v>
      </c>
      <c r="E186">
        <v>610090.44700000004</v>
      </c>
      <c r="F186">
        <v>610090.4580000001</v>
      </c>
      <c r="G186">
        <v>610090.45200000005</v>
      </c>
      <c r="H186">
        <v>610090.495</v>
      </c>
      <c r="I186">
        <v>610090.50699999998</v>
      </c>
      <c r="J186">
        <v>610090.44999999995</v>
      </c>
      <c r="K186">
        <v>610090.43499999994</v>
      </c>
      <c r="L186">
        <v>610090.51099999994</v>
      </c>
      <c r="M186">
        <v>610090.47499999998</v>
      </c>
      <c r="N186">
        <v>610090.43400000001</v>
      </c>
      <c r="O186">
        <v>610090.42500000005</v>
      </c>
      <c r="P186">
        <v>610090.48600000003</v>
      </c>
      <c r="Q186">
        <v>610090.43900000001</v>
      </c>
      <c r="R186">
        <v>610090.45900000003</v>
      </c>
      <c r="S186">
        <v>610090.48800000001</v>
      </c>
      <c r="T186">
        <v>610090.44700000004</v>
      </c>
      <c r="U186">
        <v>610090.43099999998</v>
      </c>
      <c r="V186">
        <v>610090.42099999997</v>
      </c>
      <c r="W186">
        <v>610090.47</v>
      </c>
      <c r="X186">
        <v>610090.50199999998</v>
      </c>
      <c r="Y186">
        <v>610090.43599999999</v>
      </c>
      <c r="Z186">
        <v>610090.41200000001</v>
      </c>
      <c r="AA186">
        <v>610090.49</v>
      </c>
      <c r="AB186">
        <v>610090.45600000001</v>
      </c>
      <c r="AC186">
        <v>610090.47499999998</v>
      </c>
      <c r="AD186">
        <v>610090.45700000005</v>
      </c>
      <c r="AE186">
        <v>610090.48300000001</v>
      </c>
      <c r="AF186">
        <v>610090.44700000004</v>
      </c>
      <c r="AG186">
        <v>610090.49800000002</v>
      </c>
      <c r="AH186">
        <v>610090.45400000003</v>
      </c>
      <c r="AK186" s="3" t="str">
        <f ca="1">INDIRECT(ADDRESS(186,2))</f>
        <v>Local Electricity</v>
      </c>
      <c r="AL186" s="3">
        <f ca="1">INDIRECT(ADDRESS(186,3))</f>
        <v>610090.47</v>
      </c>
      <c r="AM186" s="4">
        <f ca="1">IFERROR(INDIRECT(ADDRESS(186,3)) / INDIRECT(ADDRESS(196,3)),0)</f>
        <v>2.7845996305896466E-4</v>
      </c>
      <c r="AN186" s="3">
        <f ca="1">INDIRECT(ADDRESS(186,9))</f>
        <v>610090.50699999998</v>
      </c>
      <c r="AO186" s="4">
        <f ca="1">IFERROR(INDIRECT(ADDRESS(186,9)) / INDIRECT(ADDRESS(196,9)),0)</f>
        <v>2.811328352517648E-4</v>
      </c>
      <c r="AP186" s="4">
        <f ca="1">IFERROR((INDIRECT(ADDRESS(186,9)) - INDIRECT(ADDRESS(186,3)))/ INDIRECT(ADDRESS(186,3)),1)</f>
        <v>6.0646743115288908E-8</v>
      </c>
      <c r="AQ186" s="3">
        <f ca="1">INDIRECT(ADDRESS(186,14))</f>
        <v>610090.43400000001</v>
      </c>
      <c r="AR186" s="4">
        <f ca="1">IFERROR(INDIRECT(ADDRESS(186,14)) / INDIRECT(ADDRESS(196,14)),0)</f>
        <v>2.8658505717544283E-4</v>
      </c>
      <c r="AS186" s="4">
        <f ca="1">IFERROR((INDIRECT(ADDRESS(186,14)) - INDIRECT(ADDRESS(186,3)))/ INDIRECT(ADDRESS(186,3)),1)</f>
        <v>-5.9007641872652792E-8</v>
      </c>
      <c r="AT186" s="3">
        <f ca="1">INDIRECT(ADDRESS(186,19))</f>
        <v>610090.48800000001</v>
      </c>
      <c r="AU186" s="4">
        <f ca="1">IFERROR(INDIRECT(ADDRESS(186,19)) / INDIRECT(ADDRESS(196,19)),0)</f>
        <v>2.8643332456283424E-4</v>
      </c>
      <c r="AV186" s="4">
        <f ca="1">IFERROR((INDIRECT(ADDRESS(186,19)) - INDIRECT(ADDRESS(186,3)))/ INDIRECT(ADDRESS(186,3)),1)</f>
        <v>2.9503821031734642E-8</v>
      </c>
      <c r="AW186" s="3">
        <f ca="1">INDIRECT(ADDRESS(186,24))</f>
        <v>610090.50199999998</v>
      </c>
      <c r="AX186" s="4">
        <f ca="1">IFERROR(INDIRECT(ADDRESS(186,24)) / INDIRECT(ADDRESS(196,24)),0)</f>
        <v>2.8537641964603201E-4</v>
      </c>
      <c r="AY186" s="4">
        <f ca="1">IFERROR((INDIRECT(ADDRESS(186,24)) - INDIRECT(ADDRESS(186,3)))/ INDIRECT(ADDRESS(186,3)),1)</f>
        <v>5.2451237283741311E-8</v>
      </c>
      <c r="AZ186" s="3">
        <f ca="1">INDIRECT(ADDRESS(186,29))</f>
        <v>610090.47499999998</v>
      </c>
      <c r="BA186" s="4">
        <f ca="1">IFERROR(INDIRECT(ADDRESS(186,29)) / INDIRECT(ADDRESS(196,29)),0)</f>
        <v>2.8428856958725724E-4</v>
      </c>
      <c r="BB186" s="4">
        <f ca="1">IFERROR((INDIRECT(ADDRESS(186,29)) - INDIRECT(ADDRESS(186,3)))/ INDIRECT(ADDRESS(186,3)),1)</f>
        <v>8.1955058315475956E-9</v>
      </c>
      <c r="BC186" s="3">
        <f ca="1">INDIRECT(ADDRESS(186,34))</f>
        <v>610090.45400000003</v>
      </c>
      <c r="BD186" s="4">
        <f ca="1">IFERROR(INDIRECT(ADDRESS(186,34)) / INDIRECT(ADDRESS(196,34)),0)</f>
        <v>2.8268424142986059E-4</v>
      </c>
      <c r="BE186" s="4">
        <f ca="1">IFERROR((INDIRECT(ADDRESS(186,34)) - INDIRECT(ADDRESS(186,3)))/ INDIRECT(ADDRESS(186,3)),1)</f>
        <v>-2.6225618546462409E-8</v>
      </c>
    </row>
    <row r="187" spans="1:57" x14ac:dyDescent="0.25">
      <c r="A187" s="5"/>
      <c r="B187" s="1" t="s">
        <v>46</v>
      </c>
      <c r="C187">
        <v>368529502.75</v>
      </c>
      <c r="D187">
        <v>368771180.75</v>
      </c>
      <c r="E187">
        <v>369168242.85000002</v>
      </c>
      <c r="F187">
        <v>369870445.85000002</v>
      </c>
      <c r="G187">
        <v>370550434.75</v>
      </c>
      <c r="H187">
        <v>371188406.85000002</v>
      </c>
      <c r="I187">
        <v>371790148.75</v>
      </c>
      <c r="J187">
        <v>371774196.94999999</v>
      </c>
      <c r="K187">
        <v>371771772.85000002</v>
      </c>
      <c r="L187">
        <v>371825181.94999999</v>
      </c>
      <c r="M187">
        <v>371956874.94999999</v>
      </c>
      <c r="N187">
        <v>372155035.14999998</v>
      </c>
      <c r="O187">
        <v>372290864.14999998</v>
      </c>
      <c r="P187">
        <v>372389715.35000002</v>
      </c>
      <c r="Q187">
        <v>372423983.35000002</v>
      </c>
      <c r="R187">
        <v>372402022.35000002</v>
      </c>
      <c r="S187">
        <v>372347502.44999999</v>
      </c>
      <c r="T187">
        <v>372191333.14999998</v>
      </c>
      <c r="U187">
        <v>372028994.94999999</v>
      </c>
      <c r="V187">
        <v>371862406.44999999</v>
      </c>
      <c r="W187">
        <v>371691917.25</v>
      </c>
      <c r="X187">
        <v>371517488.85000002</v>
      </c>
      <c r="Y187">
        <v>371278236.64999998</v>
      </c>
      <c r="Z187">
        <v>371034694.55000001</v>
      </c>
      <c r="AA187">
        <v>370786824.25</v>
      </c>
      <c r="AB187">
        <v>370534662.25</v>
      </c>
      <c r="AC187">
        <v>370282941.05000001</v>
      </c>
      <c r="AD187">
        <v>369972993.35000002</v>
      </c>
      <c r="AE187">
        <v>369665654.64999998</v>
      </c>
      <c r="AF187">
        <v>369359285.94999999</v>
      </c>
      <c r="AG187">
        <v>369050118.14999998</v>
      </c>
      <c r="AH187">
        <v>368738401.44999999</v>
      </c>
      <c r="AK187" s="3" t="str">
        <f ca="1">INDIRECT(ADDRESS(187,2))</f>
        <v>Natural Gas</v>
      </c>
      <c r="AL187" s="3">
        <f ca="1">INDIRECT(ADDRESS(187,3))</f>
        <v>368529502.75</v>
      </c>
      <c r="AM187" s="4">
        <f ca="1">IFERROR(INDIRECT(ADDRESS(187,3)) / INDIRECT(ADDRESS(196,3)),0)</f>
        <v>0.16820572811423135</v>
      </c>
      <c r="AN187" s="3">
        <f ca="1">INDIRECT(ADDRESS(187,9))</f>
        <v>371790148.75</v>
      </c>
      <c r="AO187" s="4">
        <f ca="1">IFERROR(INDIRECT(ADDRESS(187,9)) / INDIRECT(ADDRESS(196,9)),0)</f>
        <v>0.17132280774328273</v>
      </c>
      <c r="AP187" s="4">
        <f ca="1">IFERROR((INDIRECT(ADDRESS(187,9)) - INDIRECT(ADDRESS(187,3)))/ INDIRECT(ADDRESS(187,3)),1)</f>
        <v>8.8477204014027876E-3</v>
      </c>
      <c r="AQ187" s="3">
        <f ca="1">INDIRECT(ADDRESS(187,14))</f>
        <v>372155035.14999998</v>
      </c>
      <c r="AR187" s="4">
        <f ca="1">IFERROR(INDIRECT(ADDRESS(187,14)) / INDIRECT(ADDRESS(196,14)),0)</f>
        <v>0.17481682400316356</v>
      </c>
      <c r="AS187" s="4">
        <f ca="1">IFERROR((INDIRECT(ADDRESS(187,14)) - INDIRECT(ADDRESS(187,3)))/ INDIRECT(ADDRESS(187,3)),1)</f>
        <v>9.8378348895975225E-3</v>
      </c>
      <c r="AT187" s="3">
        <f ca="1">INDIRECT(ADDRESS(187,19))</f>
        <v>372347502.44999999</v>
      </c>
      <c r="AU187" s="4">
        <f ca="1">IFERROR(INDIRECT(ADDRESS(187,19)) / INDIRECT(ADDRESS(196,19)),0)</f>
        <v>0.17481461376172375</v>
      </c>
      <c r="AV187" s="4">
        <f ca="1">IFERROR((INDIRECT(ADDRESS(187,19)) - INDIRECT(ADDRESS(187,3)))/ INDIRECT(ADDRESS(187,3)),1)</f>
        <v>1.0360092398328313E-2</v>
      </c>
      <c r="AW187" s="3">
        <f ca="1">INDIRECT(ADDRESS(187,24))</f>
        <v>371517488.85000002</v>
      </c>
      <c r="AX187" s="4">
        <f ca="1">IFERROR(INDIRECT(ADDRESS(187,24)) / INDIRECT(ADDRESS(196,24)),0)</f>
        <v>0.17378131679863071</v>
      </c>
      <c r="AY187" s="4">
        <f ca="1">IFERROR((INDIRECT(ADDRESS(187,24)) - INDIRECT(ADDRESS(187,3)))/ INDIRECT(ADDRESS(187,3)),1)</f>
        <v>8.1078613183026196E-3</v>
      </c>
      <c r="AZ187" s="3">
        <f ca="1">INDIRECT(ADDRESS(187,29))</f>
        <v>370282941.05000001</v>
      </c>
      <c r="BA187" s="4">
        <f ca="1">IFERROR(INDIRECT(ADDRESS(187,29)) / INDIRECT(ADDRESS(196,29)),0)</f>
        <v>0.17254360126449639</v>
      </c>
      <c r="BB187" s="4">
        <f ca="1">IFERROR((INDIRECT(ADDRESS(187,29)) - INDIRECT(ADDRESS(187,3)))/ INDIRECT(ADDRESS(187,3)),1)</f>
        <v>4.7579319617987136E-3</v>
      </c>
      <c r="BC187" s="3">
        <f ca="1">INDIRECT(ADDRESS(187,34))</f>
        <v>368738401.44999999</v>
      </c>
      <c r="BD187" s="4">
        <f ca="1">IFERROR(INDIRECT(ADDRESS(187,34)) / INDIRECT(ADDRESS(196,34)),0)</f>
        <v>0.17085423090385321</v>
      </c>
      <c r="BE187" s="4">
        <f ca="1">IFERROR((INDIRECT(ADDRESS(187,34)) - INDIRECT(ADDRESS(187,3)))/ INDIRECT(ADDRESS(187,3)),1)</f>
        <v>5.6684389836137231E-4</v>
      </c>
    </row>
    <row r="188" spans="1:57" x14ac:dyDescent="0.25">
      <c r="A188" s="5"/>
      <c r="B188" s="1" t="s">
        <v>48</v>
      </c>
      <c r="C188">
        <v>97427065.099999994</v>
      </c>
      <c r="D188">
        <v>97268775.099999994</v>
      </c>
      <c r="E188">
        <v>97275725.099999994</v>
      </c>
      <c r="F188">
        <v>97070135.099999994</v>
      </c>
      <c r="G188">
        <v>96925715.099999994</v>
      </c>
      <c r="H188">
        <v>96549825.099999994</v>
      </c>
      <c r="I188">
        <v>95291105.099999994</v>
      </c>
      <c r="J188">
        <v>94656116.099999994</v>
      </c>
      <c r="K188">
        <v>93936208.099999994</v>
      </c>
      <c r="L188">
        <v>93215419.099999994</v>
      </c>
      <c r="M188">
        <v>92582620.099999994</v>
      </c>
      <c r="N188">
        <v>92202112.099999994</v>
      </c>
      <c r="O188">
        <v>91997761.099999994</v>
      </c>
      <c r="P188">
        <v>91943891.099999994</v>
      </c>
      <c r="Q188">
        <v>91966481.099999994</v>
      </c>
      <c r="R188">
        <v>91874611.099999994</v>
      </c>
      <c r="S188">
        <v>91937740.099999994</v>
      </c>
      <c r="T188">
        <v>91963945.099999994</v>
      </c>
      <c r="U188">
        <v>91986850.099999994</v>
      </c>
      <c r="V188">
        <v>92020635.099999994</v>
      </c>
      <c r="W188">
        <v>92082570.099999994</v>
      </c>
      <c r="X188">
        <v>92169255.099999994</v>
      </c>
      <c r="Y188">
        <v>92232851.099999994</v>
      </c>
      <c r="Z188">
        <v>92287047.099999994</v>
      </c>
      <c r="AA188">
        <v>92335963.099999994</v>
      </c>
      <c r="AB188">
        <v>92388709.099999994</v>
      </c>
      <c r="AC188">
        <v>92452105.099999994</v>
      </c>
      <c r="AD188">
        <v>92526849.099999994</v>
      </c>
      <c r="AE188">
        <v>92622084.099999994</v>
      </c>
      <c r="AF188">
        <v>92739008.099999994</v>
      </c>
      <c r="AG188">
        <v>92875352.099999994</v>
      </c>
      <c r="AH188">
        <v>93021107.099999994</v>
      </c>
      <c r="AK188" s="3" t="str">
        <f ca="1">INDIRECT(ADDRESS(188,2))</f>
        <v>Other</v>
      </c>
      <c r="AL188" s="3">
        <f ca="1">INDIRECT(ADDRESS(188,3))</f>
        <v>97427065.099999994</v>
      </c>
      <c r="AM188" s="4">
        <f ca="1">IFERROR(INDIRECT(ADDRESS(188,3)) / INDIRECT(ADDRESS(196,3)),0)</f>
        <v>4.4468055612619788E-2</v>
      </c>
      <c r="AN188" s="3">
        <f ca="1">INDIRECT(ADDRESS(188,9))</f>
        <v>95291105.099999994</v>
      </c>
      <c r="AO188" s="4">
        <f ca="1">IFERROR(INDIRECT(ADDRESS(188,9)) / INDIRECT(ADDRESS(196,9)),0)</f>
        <v>4.3910630051873442E-2</v>
      </c>
      <c r="AP188" s="4">
        <f ca="1">IFERROR((INDIRECT(ADDRESS(188,9)) - INDIRECT(ADDRESS(188,3)))/ INDIRECT(ADDRESS(188,3)),1)</f>
        <v>-2.1923682067273933E-2</v>
      </c>
      <c r="AQ188" s="3">
        <f ca="1">INDIRECT(ADDRESS(188,14))</f>
        <v>92202112.099999994</v>
      </c>
      <c r="AR188" s="4">
        <f ca="1">IFERROR(INDIRECT(ADDRESS(188,14)) / INDIRECT(ADDRESS(196,14)),0)</f>
        <v>4.331119797212734E-2</v>
      </c>
      <c r="AS188" s="4">
        <f ca="1">IFERROR((INDIRECT(ADDRESS(188,14)) - INDIRECT(ADDRESS(188,3)))/ INDIRECT(ADDRESS(188,3)),1)</f>
        <v>-5.3629379009180481E-2</v>
      </c>
      <c r="AT188" s="3">
        <f ca="1">INDIRECT(ADDRESS(188,19))</f>
        <v>91937740.099999994</v>
      </c>
      <c r="AU188" s="4">
        <f ca="1">IFERROR(INDIRECT(ADDRESS(188,19)) / INDIRECT(ADDRESS(196,19)),0)</f>
        <v>4.3164142152035644E-2</v>
      </c>
      <c r="AV188" s="4">
        <f ca="1">IFERROR((INDIRECT(ADDRESS(188,19)) - INDIRECT(ADDRESS(188,3)))/ INDIRECT(ADDRESS(188,3)),1)</f>
        <v>-5.6342916563951802E-2</v>
      </c>
      <c r="AW188" s="3">
        <f ca="1">INDIRECT(ADDRESS(188,24))</f>
        <v>92169255.099999994</v>
      </c>
      <c r="AX188" s="4">
        <f ca="1">IFERROR(INDIRECT(ADDRESS(188,24)) / INDIRECT(ADDRESS(196,24)),0)</f>
        <v>4.311316425293206E-2</v>
      </c>
      <c r="AY188" s="4">
        <f ca="1">IFERROR((INDIRECT(ADDRESS(188,24)) - INDIRECT(ADDRESS(188,3)))/ INDIRECT(ADDRESS(188,3)),1)</f>
        <v>-5.3966626158792094E-2</v>
      </c>
      <c r="AZ188" s="3">
        <f ca="1">INDIRECT(ADDRESS(188,29))</f>
        <v>92452105.099999994</v>
      </c>
      <c r="BA188" s="4">
        <f ca="1">IFERROR(INDIRECT(ADDRESS(188,29)) / INDIRECT(ADDRESS(196,29)),0)</f>
        <v>4.3080621303274357E-2</v>
      </c>
      <c r="BB188" s="4">
        <f ca="1">IFERROR((INDIRECT(ADDRESS(188,29)) - INDIRECT(ADDRESS(188,3)))/ INDIRECT(ADDRESS(188,3)),1)</f>
        <v>-5.1063428780223005E-2</v>
      </c>
      <c r="BC188" s="3">
        <f ca="1">INDIRECT(ADDRESS(188,34))</f>
        <v>93021107.099999994</v>
      </c>
      <c r="BD188" s="4">
        <f ca="1">IFERROR(INDIRECT(ADDRESS(188,34)) / INDIRECT(ADDRESS(196,34)),0)</f>
        <v>4.3101151517983452E-2</v>
      </c>
      <c r="BE188" s="4">
        <f ca="1">IFERROR((INDIRECT(ADDRESS(188,34)) - INDIRECT(ADDRESS(188,3)))/ INDIRECT(ADDRESS(188,3)),1)</f>
        <v>-4.5223142003484207E-2</v>
      </c>
    </row>
    <row r="189" spans="1:57" x14ac:dyDescent="0.25">
      <c r="A189" s="5"/>
      <c r="B189" s="1" t="s">
        <v>49</v>
      </c>
      <c r="C189">
        <v>11547872.9618</v>
      </c>
      <c r="D189">
        <v>11565419.9618</v>
      </c>
      <c r="E189">
        <v>11592675.8618</v>
      </c>
      <c r="F189">
        <v>11626046.061799999</v>
      </c>
      <c r="G189">
        <v>11663840.161800001</v>
      </c>
      <c r="H189">
        <v>11703969.561799999</v>
      </c>
      <c r="I189">
        <v>11744637.061799999</v>
      </c>
      <c r="J189">
        <v>11757019.8618</v>
      </c>
      <c r="K189">
        <v>11770227.161800001</v>
      </c>
      <c r="L189">
        <v>11784715.7618</v>
      </c>
      <c r="M189">
        <v>11800618.061799999</v>
      </c>
      <c r="N189">
        <v>11818137.561799999</v>
      </c>
      <c r="O189">
        <v>11833371.7618</v>
      </c>
      <c r="P189">
        <v>11849329.3618</v>
      </c>
      <c r="Q189">
        <v>11865529.161800001</v>
      </c>
      <c r="R189">
        <v>11881686.061799999</v>
      </c>
      <c r="S189">
        <v>11897695.3618</v>
      </c>
      <c r="T189">
        <v>11911603.2618</v>
      </c>
      <c r="U189">
        <v>11925332.561799999</v>
      </c>
      <c r="V189">
        <v>11938882.9618</v>
      </c>
      <c r="W189">
        <v>11952252.661800001</v>
      </c>
      <c r="X189">
        <v>11965445.4618</v>
      </c>
      <c r="Y189">
        <v>11974183.661800001</v>
      </c>
      <c r="Z189">
        <v>11982763.7618</v>
      </c>
      <c r="AA189">
        <v>11991182.661800001</v>
      </c>
      <c r="AB189">
        <v>11999562.2618</v>
      </c>
      <c r="AC189">
        <v>12007904.7618</v>
      </c>
      <c r="AD189">
        <v>12012968.3618</v>
      </c>
      <c r="AE189">
        <v>12019104.061799999</v>
      </c>
      <c r="AF189">
        <v>12025856.161800001</v>
      </c>
      <c r="AG189">
        <v>12032457.661800001</v>
      </c>
      <c r="AH189">
        <v>12038899.3618</v>
      </c>
      <c r="AK189" s="3" t="str">
        <f ca="1">INDIRECT(ADDRESS(189,2))</f>
        <v>Propane</v>
      </c>
      <c r="AL189" s="3">
        <f ca="1">INDIRECT(ADDRESS(189,3))</f>
        <v>11547872.9618</v>
      </c>
      <c r="AM189" s="4">
        <f ca="1">IFERROR(INDIRECT(ADDRESS(189,3)) / INDIRECT(ADDRESS(196,3)),0)</f>
        <v>5.2707269437472851E-3</v>
      </c>
      <c r="AN189" s="3">
        <f ca="1">INDIRECT(ADDRESS(189,9))</f>
        <v>11744637.061799999</v>
      </c>
      <c r="AO189" s="4">
        <f ca="1">IFERROR(INDIRECT(ADDRESS(189,9)) / INDIRECT(ADDRESS(196,9)),0)</f>
        <v>5.4119890054063575E-3</v>
      </c>
      <c r="AP189" s="4">
        <f ca="1">IFERROR((INDIRECT(ADDRESS(189,9)) - INDIRECT(ADDRESS(189,3)))/ INDIRECT(ADDRESS(189,3)),1)</f>
        <v>1.7038990699922756E-2</v>
      </c>
      <c r="AQ189" s="3">
        <f ca="1">INDIRECT(ADDRESS(189,14))</f>
        <v>11818137.561799999</v>
      </c>
      <c r="AR189" s="4">
        <f ca="1">IFERROR(INDIRECT(ADDRESS(189,14)) / INDIRECT(ADDRESS(196,14)),0)</f>
        <v>5.5514747324422091E-3</v>
      </c>
      <c r="AS189" s="4">
        <f ca="1">IFERROR((INDIRECT(ADDRESS(189,14)) - INDIRECT(ADDRESS(189,3)))/ INDIRECT(ADDRESS(189,3)),1)</f>
        <v>2.3403842499309303E-2</v>
      </c>
      <c r="AT189" s="3">
        <f ca="1">INDIRECT(ADDRESS(189,19))</f>
        <v>11897695.3618</v>
      </c>
      <c r="AU189" s="4">
        <f ca="1">IFERROR(INDIRECT(ADDRESS(189,19)) / INDIRECT(ADDRESS(196,19)),0)</f>
        <v>5.5858868547319276E-3</v>
      </c>
      <c r="AV189" s="4">
        <f ca="1">IFERROR((INDIRECT(ADDRESS(189,19)) - INDIRECT(ADDRESS(189,3)))/ INDIRECT(ADDRESS(189,3)),1)</f>
        <v>3.0293232455639394E-2</v>
      </c>
      <c r="AW189" s="3">
        <f ca="1">INDIRECT(ADDRESS(189,24))</f>
        <v>11965445.4618</v>
      </c>
      <c r="AX189" s="4">
        <f ca="1">IFERROR(INDIRECT(ADDRESS(189,24)) / INDIRECT(ADDRESS(196,24)),0)</f>
        <v>5.5969663093662558E-3</v>
      </c>
      <c r="AY189" s="4">
        <f ca="1">IFERROR((INDIRECT(ADDRESS(189,24)) - INDIRECT(ADDRESS(189,3)))/ INDIRECT(ADDRESS(189,3)),1)</f>
        <v>3.6160122420926928E-2</v>
      </c>
      <c r="AZ189" s="3">
        <f ca="1">INDIRECT(ADDRESS(189,29))</f>
        <v>12007904.7618</v>
      </c>
      <c r="BA189" s="4">
        <f ca="1">IFERROR(INDIRECT(ADDRESS(189,29)) / INDIRECT(ADDRESS(196,29)),0)</f>
        <v>5.5954161036068251E-3</v>
      </c>
      <c r="BB189" s="4">
        <f ca="1">IFERROR((INDIRECT(ADDRESS(189,29)) - INDIRECT(ADDRESS(189,3)))/ INDIRECT(ADDRESS(189,3)),1)</f>
        <v>3.9836929408712016E-2</v>
      </c>
      <c r="BC189" s="3">
        <f ca="1">INDIRECT(ADDRESS(189,34))</f>
        <v>12038899.3618</v>
      </c>
      <c r="BD189" s="4">
        <f ca="1">IFERROR(INDIRECT(ADDRESS(189,34)) / INDIRECT(ADDRESS(196,34)),0)</f>
        <v>5.578200923204193E-3</v>
      </c>
      <c r="BE189" s="4">
        <f ca="1">IFERROR((INDIRECT(ADDRESS(189,34)) - INDIRECT(ADDRESS(189,3)))/ INDIRECT(ADDRESS(189,3)),1)</f>
        <v>4.2520938845127608E-2</v>
      </c>
    </row>
    <row r="190" spans="1:57" x14ac:dyDescent="0.25">
      <c r="A190" s="5"/>
      <c r="B190" s="1" t="s">
        <v>50</v>
      </c>
      <c r="C190">
        <v>2016918.442</v>
      </c>
      <c r="D190">
        <v>2016918.442</v>
      </c>
      <c r="E190">
        <v>2016918.442</v>
      </c>
      <c r="F190">
        <v>2016918.442</v>
      </c>
      <c r="G190">
        <v>2016918.442</v>
      </c>
      <c r="H190">
        <v>2016918.442</v>
      </c>
      <c r="I190">
        <v>2016918.442</v>
      </c>
      <c r="J190">
        <v>2016918.442</v>
      </c>
      <c r="K190">
        <v>2016918.442</v>
      </c>
      <c r="L190">
        <v>2016918.442</v>
      </c>
      <c r="M190">
        <v>2016918.442</v>
      </c>
      <c r="N190">
        <v>2016918.442</v>
      </c>
      <c r="O190">
        <v>2016918.442</v>
      </c>
      <c r="P190">
        <v>2016918.442</v>
      </c>
      <c r="Q190">
        <v>2016918.442</v>
      </c>
      <c r="R190">
        <v>2016918.442</v>
      </c>
      <c r="S190">
        <v>2016918.442</v>
      </c>
      <c r="T190">
        <v>2016918.442</v>
      </c>
      <c r="U190">
        <v>2016918.442</v>
      </c>
      <c r="V190">
        <v>2016918.442</v>
      </c>
      <c r="W190">
        <v>2016918.442</v>
      </c>
      <c r="X190">
        <v>2016918.442</v>
      </c>
      <c r="Y190">
        <v>2016918.442</v>
      </c>
      <c r="Z190">
        <v>2016918.442</v>
      </c>
      <c r="AA190">
        <v>2016918.442</v>
      </c>
      <c r="AB190">
        <v>2016918.442</v>
      </c>
      <c r="AC190">
        <v>2016918.442</v>
      </c>
      <c r="AD190">
        <v>2016918.442</v>
      </c>
      <c r="AE190">
        <v>2016918.442</v>
      </c>
      <c r="AF190">
        <v>2016918.452</v>
      </c>
      <c r="AG190">
        <v>2016918.442</v>
      </c>
      <c r="AH190">
        <v>2016918.442</v>
      </c>
      <c r="AK190" s="3" t="str">
        <f ca="1">INDIRECT(ADDRESS(190,2))</f>
        <v>RNG</v>
      </c>
      <c r="AL190" s="3">
        <f ca="1">INDIRECT(ADDRESS(190,3))</f>
        <v>2016918.442</v>
      </c>
      <c r="AM190" s="4">
        <f ca="1">IFERROR(INDIRECT(ADDRESS(190,3)) / INDIRECT(ADDRESS(196,3)),0)</f>
        <v>9.2057008340462121E-4</v>
      </c>
      <c r="AN190" s="3">
        <f ca="1">INDIRECT(ADDRESS(190,9))</f>
        <v>2016918.442</v>
      </c>
      <c r="AO190" s="4">
        <f ca="1">IFERROR(INDIRECT(ADDRESS(190,9)) / INDIRECT(ADDRESS(196,9)),0)</f>
        <v>9.2940636440853885E-4</v>
      </c>
      <c r="AP190" s="4">
        <f ca="1">IFERROR((INDIRECT(ADDRESS(190,9)) - INDIRECT(ADDRESS(190,3)))/ INDIRECT(ADDRESS(190,3)),1)</f>
        <v>0</v>
      </c>
      <c r="AQ190" s="3">
        <f ca="1">INDIRECT(ADDRESS(190,14))</f>
        <v>2016918.442</v>
      </c>
      <c r="AR190" s="4">
        <f ca="1">IFERROR(INDIRECT(ADDRESS(190,14)) / INDIRECT(ADDRESS(196,14)),0)</f>
        <v>9.4743115906448564E-4</v>
      </c>
      <c r="AS190" s="4">
        <f ca="1">IFERROR((INDIRECT(ADDRESS(190,14)) - INDIRECT(ADDRESS(190,3)))/ INDIRECT(ADDRESS(190,3)),1)</f>
        <v>0</v>
      </c>
      <c r="AT190" s="3">
        <f ca="1">INDIRECT(ADDRESS(190,19))</f>
        <v>2016918.442</v>
      </c>
      <c r="AU190" s="4">
        <f ca="1">IFERROR(INDIRECT(ADDRESS(190,19)) / INDIRECT(ADDRESS(196,19)),0)</f>
        <v>9.4692945731380087E-4</v>
      </c>
      <c r="AV190" s="4">
        <f ca="1">IFERROR((INDIRECT(ADDRESS(190,19)) - INDIRECT(ADDRESS(190,3)))/ INDIRECT(ADDRESS(190,3)),1)</f>
        <v>0</v>
      </c>
      <c r="AW190" s="3">
        <f ca="1">INDIRECT(ADDRESS(190,24))</f>
        <v>2016918.442</v>
      </c>
      <c r="AX190" s="4">
        <f ca="1">IFERROR(INDIRECT(ADDRESS(190,24)) / INDIRECT(ADDRESS(196,24)),0)</f>
        <v>9.4343537853669641E-4</v>
      </c>
      <c r="AY190" s="4">
        <f ca="1">IFERROR((INDIRECT(ADDRESS(190,24)) - INDIRECT(ADDRESS(190,3)))/ INDIRECT(ADDRESS(190,3)),1)</f>
        <v>0</v>
      </c>
      <c r="AZ190" s="3">
        <f ca="1">INDIRECT(ADDRESS(190,29))</f>
        <v>2016918.442</v>
      </c>
      <c r="BA190" s="4">
        <f ca="1">IFERROR(INDIRECT(ADDRESS(190,29)) / INDIRECT(ADDRESS(196,29)),0)</f>
        <v>9.3983906051039318E-4</v>
      </c>
      <c r="BB190" s="4">
        <f ca="1">IFERROR((INDIRECT(ADDRESS(190,29)) - INDIRECT(ADDRESS(190,3)))/ INDIRECT(ADDRESS(190,3)),1)</f>
        <v>0</v>
      </c>
      <c r="BC190" s="3">
        <f ca="1">INDIRECT(ADDRESS(190,34))</f>
        <v>2016918.442</v>
      </c>
      <c r="BD190" s="4">
        <f ca="1">IFERROR(INDIRECT(ADDRESS(190,34)) / INDIRECT(ADDRESS(196,34)),0)</f>
        <v>9.345352907335708E-4</v>
      </c>
      <c r="BE190" s="4">
        <f ca="1">IFERROR((INDIRECT(ADDRESS(190,34)) - INDIRECT(ADDRESS(190,3)))/ INDIRECT(ADDRESS(190,3)),1)</f>
        <v>0</v>
      </c>
    </row>
    <row r="191" spans="1:57" x14ac:dyDescent="0.25">
      <c r="A191" s="5"/>
      <c r="B191" s="1" t="s">
        <v>104</v>
      </c>
      <c r="C191">
        <v>441453.027</v>
      </c>
      <c r="D191">
        <v>441453.027</v>
      </c>
      <c r="E191">
        <v>441453.12699999998</v>
      </c>
      <c r="F191">
        <v>441453.027</v>
      </c>
      <c r="G191">
        <v>441453.027</v>
      </c>
      <c r="H191">
        <v>441453.027</v>
      </c>
      <c r="I191">
        <v>441453.027</v>
      </c>
      <c r="J191">
        <v>441455.946</v>
      </c>
      <c r="K191">
        <v>441458.66399999999</v>
      </c>
      <c r="L191">
        <v>441461.48200000002</v>
      </c>
      <c r="M191">
        <v>441464.30099999998</v>
      </c>
      <c r="N191">
        <v>441467.21899999998</v>
      </c>
      <c r="O191">
        <v>441473.696</v>
      </c>
      <c r="P191">
        <v>441480.272</v>
      </c>
      <c r="Q191">
        <v>441486.94799999997</v>
      </c>
      <c r="R191">
        <v>441493.42499999999</v>
      </c>
      <c r="S191">
        <v>441500.00099999999</v>
      </c>
      <c r="T191">
        <v>441510.57</v>
      </c>
      <c r="U191">
        <v>441521.13900000002</v>
      </c>
      <c r="V191">
        <v>441531.70799999998</v>
      </c>
      <c r="W191">
        <v>441542.27799999999</v>
      </c>
      <c r="X191">
        <v>441552.94699999999</v>
      </c>
      <c r="Y191">
        <v>441558.60100000002</v>
      </c>
      <c r="Z191">
        <v>441564.45500000002</v>
      </c>
      <c r="AA191">
        <v>441570.11</v>
      </c>
      <c r="AB191">
        <v>441575.96399999998</v>
      </c>
      <c r="AC191">
        <v>441581.61800000002</v>
      </c>
      <c r="AD191">
        <v>441583.95</v>
      </c>
      <c r="AE191">
        <v>441586.18099999998</v>
      </c>
      <c r="AF191">
        <v>441588.41200000001</v>
      </c>
      <c r="AG191">
        <v>441590.64299999998</v>
      </c>
      <c r="AH191">
        <v>441592.875</v>
      </c>
      <c r="AK191" s="3" t="str">
        <f ca="1">INDIRECT(ADDRESS(191,2))</f>
        <v>Solar</v>
      </c>
      <c r="AL191" s="3">
        <f ca="1">INDIRECT(ADDRESS(191,3))</f>
        <v>441453.027</v>
      </c>
      <c r="AM191" s="4">
        <f ca="1">IFERROR(INDIRECT(ADDRESS(191,3)) / INDIRECT(ADDRESS(196,3)),0)</f>
        <v>2.0148977837776769E-4</v>
      </c>
      <c r="AN191" s="3">
        <f ca="1">INDIRECT(ADDRESS(191,9))</f>
        <v>441453.027</v>
      </c>
      <c r="AO191" s="4">
        <f ca="1">IFERROR(INDIRECT(ADDRESS(191,9)) / INDIRECT(ADDRESS(196,9)),0)</f>
        <v>2.0342381939567517E-4</v>
      </c>
      <c r="AP191" s="4">
        <f ca="1">IFERROR((INDIRECT(ADDRESS(191,9)) - INDIRECT(ADDRESS(191,3)))/ INDIRECT(ADDRESS(191,3)),1)</f>
        <v>0</v>
      </c>
      <c r="AQ191" s="3">
        <f ca="1">INDIRECT(ADDRESS(191,14))</f>
        <v>441467.21899999998</v>
      </c>
      <c r="AR191" s="4">
        <f ca="1">IFERROR(INDIRECT(ADDRESS(191,14)) / INDIRECT(ADDRESS(196,14)),0)</f>
        <v>2.0737566293032344E-4</v>
      </c>
      <c r="AS191" s="4">
        <f ca="1">IFERROR((INDIRECT(ADDRESS(191,14)) - INDIRECT(ADDRESS(191,3)))/ INDIRECT(ADDRESS(191,3)),1)</f>
        <v>3.2148380760748321E-5</v>
      </c>
      <c r="AT191" s="3">
        <f ca="1">INDIRECT(ADDRESS(191,19))</f>
        <v>441500.00099999999</v>
      </c>
      <c r="AU191" s="4">
        <f ca="1">IFERROR(INDIRECT(ADDRESS(191,19)) / INDIRECT(ADDRESS(196,19)),0)</f>
        <v>2.0728124035417617E-4</v>
      </c>
      <c r="AV191" s="4">
        <f ca="1">IFERROR((INDIRECT(ADDRESS(191,19)) - INDIRECT(ADDRESS(191,3)))/ INDIRECT(ADDRESS(191,3)),1)</f>
        <v>1.0640769714325105E-4</v>
      </c>
      <c r="AW191" s="3">
        <f ca="1">INDIRECT(ADDRESS(191,24))</f>
        <v>441552.94699999999</v>
      </c>
      <c r="AX191" s="4">
        <f ca="1">IFERROR(INDIRECT(ADDRESS(191,24)) / INDIRECT(ADDRESS(196,24)),0)</f>
        <v>2.0654115854276016E-4</v>
      </c>
      <c r="AY191" s="4">
        <f ca="1">IFERROR((INDIRECT(ADDRESS(191,24)) - INDIRECT(ADDRESS(191,3)))/ INDIRECT(ADDRESS(191,3)),1)</f>
        <v>2.2634344740824194E-4</v>
      </c>
      <c r="AZ191" s="3">
        <f ca="1">INDIRECT(ADDRESS(191,29))</f>
        <v>441581.61800000002</v>
      </c>
      <c r="BA191" s="4">
        <f ca="1">IFERROR(INDIRECT(ADDRESS(191,29)) / INDIRECT(ADDRESS(196,29)),0)</f>
        <v>2.0576719631173828E-4</v>
      </c>
      <c r="BB191" s="4">
        <f ca="1">IFERROR((INDIRECT(ADDRESS(191,29)) - INDIRECT(ADDRESS(191,3)))/ INDIRECT(ADDRESS(191,3)),1)</f>
        <v>2.9129033472459324E-4</v>
      </c>
      <c r="BC191" s="3">
        <f ca="1">INDIRECT(ADDRESS(191,34))</f>
        <v>441592.875</v>
      </c>
      <c r="BD191" s="4">
        <f ca="1">IFERROR(INDIRECT(ADDRESS(191,34)) / INDIRECT(ADDRESS(196,34)),0)</f>
        <v>2.0461121145522174E-4</v>
      </c>
      <c r="BE191" s="4">
        <f ca="1">IFERROR((INDIRECT(ADDRESS(191,34)) - INDIRECT(ADDRESS(191,3)))/ INDIRECT(ADDRESS(191,3)),1)</f>
        <v>3.1679021650472935E-4</v>
      </c>
    </row>
    <row r="192" spans="1:57" x14ac:dyDescent="0.25">
      <c r="A192" s="5"/>
      <c r="B192" s="1" t="s">
        <v>105</v>
      </c>
      <c r="C192">
        <v>62627730</v>
      </c>
      <c r="D192">
        <v>62627730</v>
      </c>
      <c r="E192">
        <v>62627730</v>
      </c>
      <c r="F192">
        <v>62627730</v>
      </c>
      <c r="G192">
        <v>62627730</v>
      </c>
      <c r="H192">
        <v>62627730</v>
      </c>
      <c r="I192">
        <v>62627730</v>
      </c>
      <c r="J192">
        <v>62627730</v>
      </c>
      <c r="K192">
        <v>62627730</v>
      </c>
      <c r="L192">
        <v>62627730</v>
      </c>
      <c r="M192">
        <v>62627730</v>
      </c>
      <c r="N192">
        <v>62627730</v>
      </c>
      <c r="O192">
        <v>62627730</v>
      </c>
      <c r="P192">
        <v>62627730</v>
      </c>
      <c r="Q192">
        <v>62627730</v>
      </c>
      <c r="R192">
        <v>62627730</v>
      </c>
      <c r="S192">
        <v>62627730</v>
      </c>
      <c r="T192">
        <v>62627730</v>
      </c>
      <c r="U192">
        <v>62627730</v>
      </c>
      <c r="V192">
        <v>62627730</v>
      </c>
      <c r="W192">
        <v>62627730</v>
      </c>
      <c r="X192">
        <v>62627730</v>
      </c>
      <c r="Y192">
        <v>62627730</v>
      </c>
      <c r="Z192">
        <v>62627730</v>
      </c>
      <c r="AA192">
        <v>62627730</v>
      </c>
      <c r="AB192">
        <v>62627730</v>
      </c>
      <c r="AC192">
        <v>62627730</v>
      </c>
      <c r="AD192">
        <v>62627730</v>
      </c>
      <c r="AE192">
        <v>62627730</v>
      </c>
      <c r="AF192">
        <v>62627730</v>
      </c>
      <c r="AG192">
        <v>62627730</v>
      </c>
      <c r="AH192">
        <v>62627730</v>
      </c>
      <c r="AK192" s="3" t="str">
        <f ca="1">INDIRECT(ADDRESS(192,2))</f>
        <v>Uranium</v>
      </c>
      <c r="AL192" s="3">
        <f ca="1">INDIRECT(ADDRESS(192,3))</f>
        <v>62627730</v>
      </c>
      <c r="AM192" s="4">
        <f ca="1">IFERROR(INDIRECT(ADDRESS(192,3)) / INDIRECT(ADDRESS(196,3)),0)</f>
        <v>2.8584802156091396E-2</v>
      </c>
      <c r="AN192" s="3">
        <f ca="1">INDIRECT(ADDRESS(192,9))</f>
        <v>62627730</v>
      </c>
      <c r="AO192" s="4">
        <f ca="1">IFERROR(INDIRECT(ADDRESS(192,9)) / INDIRECT(ADDRESS(196,9)),0)</f>
        <v>2.8859179250074793E-2</v>
      </c>
      <c r="AP192" s="4">
        <f ca="1">IFERROR((INDIRECT(ADDRESS(192,9)) - INDIRECT(ADDRESS(192,3)))/ INDIRECT(ADDRESS(192,3)),1)</f>
        <v>0</v>
      </c>
      <c r="AQ192" s="3">
        <f ca="1">INDIRECT(ADDRESS(192,14))</f>
        <v>62627730</v>
      </c>
      <c r="AR192" s="4">
        <f ca="1">IFERROR(INDIRECT(ADDRESS(192,14)) / INDIRECT(ADDRESS(196,14)),0)</f>
        <v>2.94188706830604E-2</v>
      </c>
      <c r="AS192" s="4">
        <f ca="1">IFERROR((INDIRECT(ADDRESS(192,14)) - INDIRECT(ADDRESS(192,3)))/ INDIRECT(ADDRESS(192,3)),1)</f>
        <v>0</v>
      </c>
      <c r="AT192" s="3">
        <f ca="1">INDIRECT(ADDRESS(192,19))</f>
        <v>62627730</v>
      </c>
      <c r="AU192" s="4">
        <f ca="1">IFERROR(INDIRECT(ADDRESS(192,19)) / INDIRECT(ADDRESS(196,19)),0)</f>
        <v>2.9403292243631161E-2</v>
      </c>
      <c r="AV192" s="4">
        <f ca="1">IFERROR((INDIRECT(ADDRESS(192,19)) - INDIRECT(ADDRESS(192,3)))/ INDIRECT(ADDRESS(192,3)),1)</f>
        <v>0</v>
      </c>
      <c r="AW192" s="3">
        <f ca="1">INDIRECT(ADDRESS(192,24))</f>
        <v>62627730</v>
      </c>
      <c r="AX192" s="4">
        <f ca="1">IFERROR(INDIRECT(ADDRESS(192,24)) / INDIRECT(ADDRESS(196,24)),0)</f>
        <v>2.9294796918438816E-2</v>
      </c>
      <c r="AY192" s="4">
        <f ca="1">IFERROR((INDIRECT(ADDRESS(192,24)) - INDIRECT(ADDRESS(192,3)))/ INDIRECT(ADDRESS(192,3)),1)</f>
        <v>0</v>
      </c>
      <c r="AZ192" s="3">
        <f ca="1">INDIRECT(ADDRESS(192,29))</f>
        <v>62627730</v>
      </c>
      <c r="BA192" s="4">
        <f ca="1">IFERROR(INDIRECT(ADDRESS(192,29)) / INDIRECT(ADDRESS(196,29)),0)</f>
        <v>2.9183126942273537E-2</v>
      </c>
      <c r="BB192" s="4">
        <f ca="1">IFERROR((INDIRECT(ADDRESS(192,29)) - INDIRECT(ADDRESS(192,3)))/ INDIRECT(ADDRESS(192,3)),1)</f>
        <v>0</v>
      </c>
      <c r="BC192" s="3">
        <f ca="1">INDIRECT(ADDRESS(192,34))</f>
        <v>62627730</v>
      </c>
      <c r="BD192" s="4">
        <f ca="1">IFERROR(INDIRECT(ADDRESS(192,34)) / INDIRECT(ADDRESS(196,34)),0)</f>
        <v>2.9018438547022605E-2</v>
      </c>
      <c r="BE192" s="4">
        <f ca="1">IFERROR((INDIRECT(ADDRESS(192,34)) - INDIRECT(ADDRESS(192,3)))/ INDIRECT(ADDRESS(192,3)),1)</f>
        <v>0</v>
      </c>
    </row>
    <row r="193" spans="1:57" x14ac:dyDescent="0.25">
      <c r="A193" s="5"/>
      <c r="B193" s="1" t="s">
        <v>106</v>
      </c>
      <c r="C193">
        <v>363857100</v>
      </c>
      <c r="D193">
        <v>363857100</v>
      </c>
      <c r="E193">
        <v>363857100</v>
      </c>
      <c r="F193">
        <v>363857100</v>
      </c>
      <c r="G193">
        <v>363857100</v>
      </c>
      <c r="H193">
        <v>363857100</v>
      </c>
      <c r="I193">
        <v>363857100</v>
      </c>
      <c r="J193">
        <v>363857100</v>
      </c>
      <c r="K193">
        <v>363857100</v>
      </c>
      <c r="L193">
        <v>363857100</v>
      </c>
      <c r="M193">
        <v>363857100</v>
      </c>
      <c r="N193">
        <v>363857100</v>
      </c>
      <c r="O193">
        <v>363857100</v>
      </c>
      <c r="P193">
        <v>363857100</v>
      </c>
      <c r="Q193">
        <v>363857100</v>
      </c>
      <c r="R193">
        <v>363857100</v>
      </c>
      <c r="S193">
        <v>363857100</v>
      </c>
      <c r="T193">
        <v>363857100</v>
      </c>
      <c r="U193">
        <v>363857100</v>
      </c>
      <c r="V193">
        <v>363857100</v>
      </c>
      <c r="W193">
        <v>363857100</v>
      </c>
      <c r="X193">
        <v>363857100</v>
      </c>
      <c r="Y193">
        <v>363857100</v>
      </c>
      <c r="Z193">
        <v>363857100</v>
      </c>
      <c r="AA193">
        <v>363857100</v>
      </c>
      <c r="AB193">
        <v>363857100</v>
      </c>
      <c r="AC193">
        <v>363857100</v>
      </c>
      <c r="AD193">
        <v>363857100</v>
      </c>
      <c r="AE193">
        <v>363857100</v>
      </c>
      <c r="AF193">
        <v>363857100</v>
      </c>
      <c r="AG193">
        <v>363857100</v>
      </c>
      <c r="AH193">
        <v>363857100</v>
      </c>
      <c r="AK193" s="3" t="str">
        <f ca="1">INDIRECT(ADDRESS(193,2))</f>
        <v>Water</v>
      </c>
      <c r="AL193" s="3">
        <f ca="1">INDIRECT(ADDRESS(193,3))</f>
        <v>363857100</v>
      </c>
      <c r="AM193" s="4">
        <f ca="1">IFERROR(INDIRECT(ADDRESS(193,3)) / INDIRECT(ADDRESS(196,3)),0)</f>
        <v>0.16607313112880129</v>
      </c>
      <c r="AN193" s="3">
        <f ca="1">INDIRECT(ADDRESS(193,9))</f>
        <v>363857100</v>
      </c>
      <c r="AO193" s="4">
        <f ca="1">IFERROR(INDIRECT(ADDRESS(193,9)) / INDIRECT(ADDRESS(196,9)),0)</f>
        <v>0.16766721818453884</v>
      </c>
      <c r="AP193" s="4">
        <f ca="1">IFERROR((INDIRECT(ADDRESS(193,9)) - INDIRECT(ADDRESS(193,3)))/ INDIRECT(ADDRESS(193,3)),1)</f>
        <v>0</v>
      </c>
      <c r="AQ193" s="3">
        <f ca="1">INDIRECT(ADDRESS(193,14))</f>
        <v>363857100</v>
      </c>
      <c r="AR193" s="4">
        <f ca="1">IFERROR(INDIRECT(ADDRESS(193,14)) / INDIRECT(ADDRESS(196,14)),0)</f>
        <v>0.17091893594120969</v>
      </c>
      <c r="AS193" s="4">
        <f ca="1">IFERROR((INDIRECT(ADDRESS(193,14)) - INDIRECT(ADDRESS(193,3)))/ INDIRECT(ADDRESS(193,3)),1)</f>
        <v>0</v>
      </c>
      <c r="AT193" s="3">
        <f ca="1">INDIRECT(ADDRESS(193,19))</f>
        <v>363857100</v>
      </c>
      <c r="AU193" s="4">
        <f ca="1">IFERROR(INDIRECT(ADDRESS(193,19)) / INDIRECT(ADDRESS(196,19)),0)</f>
        <v>0.17082842769840337</v>
      </c>
      <c r="AV193" s="4">
        <f ca="1">IFERROR((INDIRECT(ADDRESS(193,19)) - INDIRECT(ADDRESS(193,3)))/ INDIRECT(ADDRESS(193,3)),1)</f>
        <v>0</v>
      </c>
      <c r="AW193" s="3">
        <f ca="1">INDIRECT(ADDRESS(193,24))</f>
        <v>363857100</v>
      </c>
      <c r="AX193" s="4">
        <f ca="1">IFERROR(INDIRECT(ADDRESS(193,24)) / INDIRECT(ADDRESS(196,24)),0)</f>
        <v>0.17019808720245944</v>
      </c>
      <c r="AY193" s="4">
        <f ca="1">IFERROR((INDIRECT(ADDRESS(193,24)) - INDIRECT(ADDRESS(193,3)))/ INDIRECT(ADDRESS(193,3)),1)</f>
        <v>0</v>
      </c>
      <c r="AZ193" s="3">
        <f ca="1">INDIRECT(ADDRESS(193,29))</f>
        <v>363857100</v>
      </c>
      <c r="BA193" s="4">
        <f ca="1">IFERROR(INDIRECT(ADDRESS(193,29)) / INDIRECT(ADDRESS(196,29)),0)</f>
        <v>0.16954930249184372</v>
      </c>
      <c r="BB193" s="4">
        <f ca="1">IFERROR((INDIRECT(ADDRESS(193,29)) - INDIRECT(ADDRESS(193,3)))/ INDIRECT(ADDRESS(193,3)),1)</f>
        <v>0</v>
      </c>
      <c r="BC193" s="3">
        <f ca="1">INDIRECT(ADDRESS(193,34))</f>
        <v>363857100</v>
      </c>
      <c r="BD193" s="4">
        <f ca="1">IFERROR(INDIRECT(ADDRESS(193,34)) / INDIRECT(ADDRESS(196,34)),0)</f>
        <v>0.16859248924155257</v>
      </c>
      <c r="BE193" s="4">
        <f ca="1">IFERROR((INDIRECT(ADDRESS(193,34)) - INDIRECT(ADDRESS(193,3)))/ INDIRECT(ADDRESS(193,3)),1)</f>
        <v>0</v>
      </c>
    </row>
    <row r="194" spans="1:57" x14ac:dyDescent="0.25">
      <c r="A194" s="5"/>
      <c r="B194" s="1" t="s">
        <v>107</v>
      </c>
      <c r="C194">
        <v>43192630</v>
      </c>
      <c r="D194">
        <v>43192630</v>
      </c>
      <c r="E194">
        <v>43192630</v>
      </c>
      <c r="F194">
        <v>43192630</v>
      </c>
      <c r="G194">
        <v>43192630</v>
      </c>
      <c r="H194">
        <v>43192630</v>
      </c>
      <c r="I194">
        <v>43192630</v>
      </c>
      <c r="J194">
        <v>43192630</v>
      </c>
      <c r="K194">
        <v>43192630</v>
      </c>
      <c r="L194">
        <v>43192630</v>
      </c>
      <c r="M194">
        <v>43192630</v>
      </c>
      <c r="N194">
        <v>43192630</v>
      </c>
      <c r="O194">
        <v>43192630</v>
      </c>
      <c r="P194">
        <v>43192630</v>
      </c>
      <c r="Q194">
        <v>43192630</v>
      </c>
      <c r="R194">
        <v>43192630</v>
      </c>
      <c r="S194">
        <v>43192630</v>
      </c>
      <c r="T194">
        <v>43192630</v>
      </c>
      <c r="U194">
        <v>43192630</v>
      </c>
      <c r="V194">
        <v>43192630</v>
      </c>
      <c r="W194">
        <v>43192630</v>
      </c>
      <c r="X194">
        <v>43192630</v>
      </c>
      <c r="Y194">
        <v>43192630</v>
      </c>
      <c r="Z194">
        <v>43192630</v>
      </c>
      <c r="AA194">
        <v>43192630</v>
      </c>
      <c r="AB194">
        <v>43192630</v>
      </c>
      <c r="AC194">
        <v>43192630</v>
      </c>
      <c r="AD194">
        <v>43192630</v>
      </c>
      <c r="AE194">
        <v>43192630</v>
      </c>
      <c r="AF194">
        <v>43192640</v>
      </c>
      <c r="AG194">
        <v>43192630</v>
      </c>
      <c r="AH194">
        <v>43192630</v>
      </c>
      <c r="AK194" s="3" t="str">
        <f ca="1">INDIRECT(ADDRESS(194,2))</f>
        <v>Wind</v>
      </c>
      <c r="AL194" s="3">
        <f ca="1">INDIRECT(ADDRESS(194,3))</f>
        <v>43192630</v>
      </c>
      <c r="AM194" s="4">
        <f ca="1">IFERROR(INDIRECT(ADDRESS(194,3)) / INDIRECT(ADDRESS(196,3)),0)</f>
        <v>1.9714155105913275E-2</v>
      </c>
      <c r="AN194" s="3">
        <f ca="1">INDIRECT(ADDRESS(194,9))</f>
        <v>43192630</v>
      </c>
      <c r="AO194" s="4">
        <f ca="1">IFERROR(INDIRECT(ADDRESS(194,9)) / INDIRECT(ADDRESS(196,9)),0)</f>
        <v>1.9903385472412268E-2</v>
      </c>
      <c r="AP194" s="4">
        <f ca="1">IFERROR((INDIRECT(ADDRESS(194,9)) - INDIRECT(ADDRESS(194,3)))/ INDIRECT(ADDRESS(194,3)),1)</f>
        <v>0</v>
      </c>
      <c r="AQ194" s="3">
        <f ca="1">INDIRECT(ADDRESS(194,14))</f>
        <v>43192630</v>
      </c>
      <c r="AR194" s="4">
        <f ca="1">IFERROR(INDIRECT(ADDRESS(194,14)) / INDIRECT(ADDRESS(196,14)),0)</f>
        <v>2.0289389323727286E-2</v>
      </c>
      <c r="AS194" s="4">
        <f ca="1">IFERROR((INDIRECT(ADDRESS(194,14)) - INDIRECT(ADDRESS(194,3)))/ INDIRECT(ADDRESS(194,3)),1)</f>
        <v>0</v>
      </c>
      <c r="AT194" s="3">
        <f ca="1">INDIRECT(ADDRESS(194,19))</f>
        <v>43192630</v>
      </c>
      <c r="AU194" s="4">
        <f ca="1">IFERROR(INDIRECT(ADDRESS(194,19)) / INDIRECT(ADDRESS(196,19)),0)</f>
        <v>2.0278645300748258E-2</v>
      </c>
      <c r="AV194" s="4">
        <f ca="1">IFERROR((INDIRECT(ADDRESS(194,19)) - INDIRECT(ADDRESS(194,3)))/ INDIRECT(ADDRESS(194,3)),1)</f>
        <v>0</v>
      </c>
      <c r="AW194" s="3">
        <f ca="1">INDIRECT(ADDRESS(194,24))</f>
        <v>43192630</v>
      </c>
      <c r="AX194" s="4">
        <f ca="1">IFERROR(INDIRECT(ADDRESS(194,24)) / INDIRECT(ADDRESS(196,24)),0)</f>
        <v>2.0203819046663005E-2</v>
      </c>
      <c r="AY194" s="4">
        <f ca="1">IFERROR((INDIRECT(ADDRESS(194,24)) - INDIRECT(ADDRESS(194,3)))/ INDIRECT(ADDRESS(194,3)),1)</f>
        <v>0</v>
      </c>
      <c r="AZ194" s="3">
        <f ca="1">INDIRECT(ADDRESS(194,29))</f>
        <v>43192630</v>
      </c>
      <c r="BA194" s="4">
        <f ca="1">IFERROR(INDIRECT(ADDRESS(194,29)) / INDIRECT(ADDRESS(196,29)),0)</f>
        <v>2.0126803322755786E-2</v>
      </c>
      <c r="BB194" s="4">
        <f ca="1">IFERROR((INDIRECT(ADDRESS(194,29)) - INDIRECT(ADDRESS(194,3)))/ INDIRECT(ADDRESS(194,3)),1)</f>
        <v>0</v>
      </c>
      <c r="BC194" s="3">
        <f ca="1">INDIRECT(ADDRESS(194,34))</f>
        <v>43192630</v>
      </c>
      <c r="BD194" s="4">
        <f ca="1">IFERROR(INDIRECT(ADDRESS(194,34)) / INDIRECT(ADDRESS(196,34)),0)</f>
        <v>2.0013222247386022E-2</v>
      </c>
      <c r="BE194" s="4">
        <f ca="1">IFERROR((INDIRECT(ADDRESS(194,34)) - INDIRECT(ADDRESS(194,3)))/ INDIRECT(ADDRESS(194,3)),1)</f>
        <v>0</v>
      </c>
    </row>
    <row r="195" spans="1:57" x14ac:dyDescent="0.25">
      <c r="A195" s="5"/>
      <c r="B195" s="1" t="s">
        <v>51</v>
      </c>
      <c r="C195">
        <v>125996294</v>
      </c>
      <c r="D195">
        <v>125997743</v>
      </c>
      <c r="E195">
        <v>125972995</v>
      </c>
      <c r="F195">
        <v>125951326</v>
      </c>
      <c r="G195">
        <v>125931967</v>
      </c>
      <c r="H195">
        <v>125914902</v>
      </c>
      <c r="I195">
        <v>125897729</v>
      </c>
      <c r="J195">
        <v>125915345</v>
      </c>
      <c r="K195">
        <v>125934267</v>
      </c>
      <c r="L195">
        <v>125954369</v>
      </c>
      <c r="M195">
        <v>125974265</v>
      </c>
      <c r="N195">
        <v>125993935</v>
      </c>
      <c r="O195">
        <v>126063197</v>
      </c>
      <c r="P195">
        <v>126132361</v>
      </c>
      <c r="Q195">
        <v>126201464</v>
      </c>
      <c r="R195">
        <v>126270510</v>
      </c>
      <c r="S195">
        <v>126339492</v>
      </c>
      <c r="T195">
        <v>126460845</v>
      </c>
      <c r="U195">
        <v>126582157</v>
      </c>
      <c r="V195">
        <v>126703414</v>
      </c>
      <c r="W195">
        <v>126824609</v>
      </c>
      <c r="X195">
        <v>126945760</v>
      </c>
      <c r="Y195">
        <v>126999494</v>
      </c>
      <c r="Z195">
        <v>127053177</v>
      </c>
      <c r="AA195">
        <v>127106807</v>
      </c>
      <c r="AB195">
        <v>127160609</v>
      </c>
      <c r="AC195">
        <v>127214630</v>
      </c>
      <c r="AD195">
        <v>127217265</v>
      </c>
      <c r="AE195">
        <v>127220133</v>
      </c>
      <c r="AF195">
        <v>127223078</v>
      </c>
      <c r="AG195">
        <v>127226030</v>
      </c>
      <c r="AH195">
        <v>127228969</v>
      </c>
      <c r="AK195" s="3" t="str">
        <f ca="1">INDIRECT(ADDRESS(195,2))</f>
        <v>Wood</v>
      </c>
      <c r="AL195" s="3">
        <f ca="1">INDIRECT(ADDRESS(195,3))</f>
        <v>125996294</v>
      </c>
      <c r="AM195" s="4">
        <f ca="1">IFERROR(INDIRECT(ADDRESS(195,3)) / INDIRECT(ADDRESS(196,3)),0)</f>
        <v>5.7507738766688903E-2</v>
      </c>
      <c r="AN195" s="3">
        <f ca="1">INDIRECT(ADDRESS(195,9))</f>
        <v>125897729</v>
      </c>
      <c r="AO195" s="4">
        <f ca="1">IFERROR(INDIRECT(ADDRESS(195,9)) / INDIRECT(ADDRESS(196,9)),0)</f>
        <v>5.8014319350044134E-2</v>
      </c>
      <c r="AP195" s="4">
        <f ca="1">IFERROR((INDIRECT(ADDRESS(195,9)) - INDIRECT(ADDRESS(195,3)))/ INDIRECT(ADDRESS(195,3)),1)</f>
        <v>-7.8228491387214924E-4</v>
      </c>
      <c r="AQ195" s="3">
        <f ca="1">INDIRECT(ADDRESS(195,14))</f>
        <v>125993935</v>
      </c>
      <c r="AR195" s="4">
        <f ca="1">IFERROR(INDIRECT(ADDRESS(195,14)) / INDIRECT(ADDRESS(196,14)),0)</f>
        <v>5.9184634036950047E-2</v>
      </c>
      <c r="AS195" s="4">
        <f ca="1">IFERROR((INDIRECT(ADDRESS(195,14)) - INDIRECT(ADDRESS(195,3)))/ INDIRECT(ADDRESS(195,3)),1)</f>
        <v>-1.8722772909495257E-5</v>
      </c>
      <c r="AT195" s="3">
        <f ca="1">INDIRECT(ADDRESS(195,19))</f>
        <v>126339492</v>
      </c>
      <c r="AU195" s="4">
        <f ca="1">IFERROR(INDIRECT(ADDRESS(195,19)) / INDIRECT(ADDRESS(196,19)),0)</f>
        <v>5.9315530120409937E-2</v>
      </c>
      <c r="AV195" s="4">
        <f ca="1">IFERROR((INDIRECT(ADDRESS(195,19)) - INDIRECT(ADDRESS(195,3)))/ INDIRECT(ADDRESS(195,3)),1)</f>
        <v>2.723873767271282E-3</v>
      </c>
      <c r="AW195" s="3">
        <f ca="1">INDIRECT(ADDRESS(195,24))</f>
        <v>126945760</v>
      </c>
      <c r="AX195" s="4">
        <f ca="1">IFERROR(INDIRECT(ADDRESS(195,24)) / INDIRECT(ADDRESS(196,24)),0)</f>
        <v>5.9380249912568656E-2</v>
      </c>
      <c r="AY195" s="4">
        <f ca="1">IFERROR((INDIRECT(ADDRESS(195,24)) - INDIRECT(ADDRESS(195,3)))/ INDIRECT(ADDRESS(195,3)),1)</f>
        <v>7.5356660887184509E-3</v>
      </c>
      <c r="AZ195" s="3">
        <f ca="1">INDIRECT(ADDRESS(195,29))</f>
        <v>127214630</v>
      </c>
      <c r="BA195" s="4">
        <f ca="1">IFERROR(INDIRECT(ADDRESS(195,29)) / INDIRECT(ADDRESS(196,29)),0)</f>
        <v>5.9279183457621079E-2</v>
      </c>
      <c r="BB195" s="4">
        <f ca="1">IFERROR((INDIRECT(ADDRESS(195,29)) - INDIRECT(ADDRESS(195,3)))/ INDIRECT(ADDRESS(195,3)),1)</f>
        <v>9.6696177428837703E-3</v>
      </c>
      <c r="BC195" s="3">
        <f ca="1">INDIRECT(ADDRESS(195,34))</f>
        <v>127228969</v>
      </c>
      <c r="BD195" s="4">
        <f ca="1">IFERROR(INDIRECT(ADDRESS(195,34)) / INDIRECT(ADDRESS(196,34)),0)</f>
        <v>5.8951298703107141E-2</v>
      </c>
      <c r="BE195" s="4">
        <f ca="1">IFERROR((INDIRECT(ADDRESS(195,34)) - INDIRECT(ADDRESS(195,3)))/ INDIRECT(ADDRESS(195,3)),1)</f>
        <v>9.783422677495577E-3</v>
      </c>
    </row>
    <row r="196" spans="1:57" x14ac:dyDescent="0.25">
      <c r="A196" s="1" t="s">
        <v>21</v>
      </c>
      <c r="B196" s="1"/>
      <c r="C196">
        <v>2190945022.3937998</v>
      </c>
      <c r="D196">
        <v>2184793908.0558</v>
      </c>
      <c r="E196">
        <v>2187332339.8127999</v>
      </c>
      <c r="F196">
        <v>2187095676.4327998</v>
      </c>
      <c r="G196">
        <v>2188002300.9798002</v>
      </c>
      <c r="H196">
        <v>2185302695.2198</v>
      </c>
      <c r="I196">
        <v>2170114730.4748001</v>
      </c>
      <c r="J196">
        <v>2161222729.5377998</v>
      </c>
      <c r="K196">
        <v>2151356195.2828002</v>
      </c>
      <c r="L196">
        <v>2141587801.3717999</v>
      </c>
      <c r="M196">
        <v>2133218983.2897999</v>
      </c>
      <c r="N196">
        <v>2128828488.1738</v>
      </c>
      <c r="O196">
        <v>2126758351.0708001</v>
      </c>
      <c r="P196">
        <v>2127008161.6458001</v>
      </c>
      <c r="Q196">
        <v>2128384836.3227999</v>
      </c>
      <c r="R196">
        <v>2127923690.8787999</v>
      </c>
      <c r="S196">
        <v>2129956383.1517999</v>
      </c>
      <c r="T196">
        <v>2131183880.8817999</v>
      </c>
      <c r="U196">
        <v>2132373751.0067999</v>
      </c>
      <c r="V196">
        <v>2133750299.0178001</v>
      </c>
      <c r="W196">
        <v>2135592536.6777999</v>
      </c>
      <c r="X196">
        <v>2137844825.2897999</v>
      </c>
      <c r="Y196">
        <v>2139579142.2168</v>
      </c>
      <c r="Z196">
        <v>2141172547.0518</v>
      </c>
      <c r="AA196">
        <v>2142687783.0567999</v>
      </c>
      <c r="AB196">
        <v>2144266882.8138001</v>
      </c>
      <c r="AC196">
        <v>2146025342.7908001</v>
      </c>
      <c r="AD196">
        <v>2147826272.5348001</v>
      </c>
      <c r="AE196">
        <v>2149965583.0618</v>
      </c>
      <c r="AF196">
        <v>2152457379.4868002</v>
      </c>
      <c r="AG196">
        <v>2155257819.9098001</v>
      </c>
      <c r="AH196">
        <v>2158204684.1877999</v>
      </c>
    </row>
    <row r="199" spans="1:57" x14ac:dyDescent="0.25">
      <c r="A199" s="1" t="s">
        <v>0</v>
      </c>
      <c r="B199" s="1" t="s">
        <v>71</v>
      </c>
      <c r="C199" s="1"/>
      <c r="D199" s="1" t="s">
        <v>100</v>
      </c>
      <c r="E199" s="1" t="s">
        <v>40</v>
      </c>
      <c r="F199" s="1" t="s">
        <v>41</v>
      </c>
      <c r="G199" s="1" t="s">
        <v>42</v>
      </c>
      <c r="H199" s="1" t="s">
        <v>43</v>
      </c>
      <c r="I199" s="1" t="s">
        <v>101</v>
      </c>
      <c r="J199" s="1" t="s">
        <v>44</v>
      </c>
      <c r="K199" s="1" t="s">
        <v>102</v>
      </c>
      <c r="L199" s="1" t="s">
        <v>103</v>
      </c>
      <c r="M199" s="1" t="s">
        <v>46</v>
      </c>
      <c r="N199" s="1" t="s">
        <v>48</v>
      </c>
      <c r="O199" s="1" t="s">
        <v>49</v>
      </c>
      <c r="P199" s="1" t="s">
        <v>50</v>
      </c>
      <c r="Q199" s="1" t="s">
        <v>104</v>
      </c>
      <c r="R199" s="1" t="s">
        <v>105</v>
      </c>
      <c r="S199" s="1" t="s">
        <v>106</v>
      </c>
      <c r="T199" s="1" t="s">
        <v>107</v>
      </c>
      <c r="U199" s="1" t="s">
        <v>51</v>
      </c>
    </row>
    <row r="200" spans="1:57" x14ac:dyDescent="0.25">
      <c r="A200" s="5" t="s">
        <v>2</v>
      </c>
      <c r="B200" s="5" t="s">
        <v>22</v>
      </c>
      <c r="C200" s="1">
        <v>2019</v>
      </c>
      <c r="K200">
        <v>0</v>
      </c>
      <c r="M200">
        <v>7126865.1600000001</v>
      </c>
      <c r="P200">
        <v>1750154.2620000001</v>
      </c>
    </row>
    <row r="201" spans="1:57" x14ac:dyDescent="0.25">
      <c r="A201" s="5"/>
      <c r="B201" s="5"/>
      <c r="C201" s="1">
        <v>2050</v>
      </c>
      <c r="K201">
        <v>1069030.2309999999</v>
      </c>
      <c r="M201">
        <v>0.16991769100000001</v>
      </c>
      <c r="P201">
        <v>7807990.2599999998</v>
      </c>
    </row>
    <row r="202" spans="1:57" x14ac:dyDescent="0.25">
      <c r="A202" s="5"/>
      <c r="B202" s="5" t="s">
        <v>23</v>
      </c>
      <c r="C202" s="1">
        <v>2019</v>
      </c>
      <c r="G202">
        <v>37540.576000000001</v>
      </c>
      <c r="J202">
        <v>134139423</v>
      </c>
      <c r="K202">
        <v>0</v>
      </c>
      <c r="L202">
        <v>258988.23</v>
      </c>
      <c r="M202">
        <v>68765769.799999997</v>
      </c>
      <c r="O202">
        <v>2696164.5</v>
      </c>
      <c r="P202">
        <v>55381.48</v>
      </c>
    </row>
    <row r="203" spans="1:57" x14ac:dyDescent="0.25">
      <c r="A203" s="5"/>
      <c r="B203" s="5"/>
      <c r="C203" s="1">
        <v>2050</v>
      </c>
      <c r="G203">
        <v>24434.42036</v>
      </c>
      <c r="J203">
        <v>82942278</v>
      </c>
      <c r="K203">
        <v>2855786.72</v>
      </c>
      <c r="L203">
        <v>254986.45600000001</v>
      </c>
      <c r="M203">
        <v>0.45391511400000001</v>
      </c>
      <c r="O203">
        <v>1301667.56</v>
      </c>
      <c r="P203">
        <v>16237026</v>
      </c>
    </row>
    <row r="204" spans="1:57" x14ac:dyDescent="0.25">
      <c r="A204" s="5"/>
      <c r="B204" s="5" t="s">
        <v>24</v>
      </c>
      <c r="C204" s="1">
        <v>2019</v>
      </c>
      <c r="E204">
        <v>62546650</v>
      </c>
      <c r="G204">
        <v>67140.179999999993</v>
      </c>
      <c r="K204">
        <v>0</v>
      </c>
      <c r="M204">
        <v>98959233.789999992</v>
      </c>
      <c r="N204">
        <v>64130000.100000001</v>
      </c>
      <c r="O204">
        <v>5220.8217999999997</v>
      </c>
      <c r="P204">
        <v>211382.7</v>
      </c>
      <c r="Q204">
        <v>437311</v>
      </c>
      <c r="R204">
        <v>62627730</v>
      </c>
      <c r="S204">
        <v>363857100</v>
      </c>
      <c r="T204">
        <v>43192630</v>
      </c>
      <c r="U204">
        <v>4992240</v>
      </c>
    </row>
    <row r="205" spans="1:57" x14ac:dyDescent="0.25">
      <c r="A205" s="5"/>
      <c r="B205" s="5"/>
      <c r="C205" s="1">
        <v>2050</v>
      </c>
      <c r="E205">
        <v>0</v>
      </c>
      <c r="G205">
        <v>0</v>
      </c>
      <c r="K205">
        <v>7669052.068</v>
      </c>
      <c r="M205">
        <v>0.3263640974</v>
      </c>
      <c r="N205">
        <v>46652280.100000001</v>
      </c>
      <c r="O205">
        <v>1774.7346</v>
      </c>
      <c r="P205">
        <v>11743173.08</v>
      </c>
      <c r="Q205">
        <v>864144.9</v>
      </c>
      <c r="R205">
        <v>61941140</v>
      </c>
      <c r="S205">
        <v>353505700</v>
      </c>
      <c r="T205">
        <v>45456160</v>
      </c>
      <c r="U205">
        <v>4584367</v>
      </c>
    </row>
    <row r="206" spans="1:57" x14ac:dyDescent="0.25">
      <c r="A206" s="5"/>
      <c r="B206" s="5" t="s">
        <v>26</v>
      </c>
      <c r="C206" s="1">
        <v>2019</v>
      </c>
      <c r="D206">
        <v>52357190</v>
      </c>
      <c r="E206">
        <v>4817770</v>
      </c>
      <c r="G206">
        <v>88801676.086999997</v>
      </c>
      <c r="J206">
        <v>52488966.5</v>
      </c>
      <c r="K206">
        <v>0</v>
      </c>
      <c r="L206">
        <v>95302.543000000005</v>
      </c>
      <c r="M206">
        <v>102416770.5</v>
      </c>
      <c r="N206">
        <v>5057415</v>
      </c>
      <c r="O206">
        <v>4246659.8</v>
      </c>
      <c r="P206">
        <v>0</v>
      </c>
      <c r="Q206">
        <v>4142.027</v>
      </c>
      <c r="U206">
        <v>114600340</v>
      </c>
    </row>
    <row r="207" spans="1:57" x14ac:dyDescent="0.25">
      <c r="A207" s="5"/>
      <c r="B207" s="5"/>
      <c r="C207" s="1">
        <v>2050</v>
      </c>
      <c r="D207">
        <v>52357184</v>
      </c>
      <c r="E207">
        <v>2094891.1</v>
      </c>
      <c r="G207">
        <v>23970401.087000001</v>
      </c>
      <c r="J207">
        <v>156726699</v>
      </c>
      <c r="K207">
        <v>95319918.920000002</v>
      </c>
      <c r="L207">
        <v>121428.125</v>
      </c>
      <c r="M207">
        <v>0.82187974100000005</v>
      </c>
      <c r="N207">
        <v>3665999</v>
      </c>
      <c r="O207">
        <v>1516625.9</v>
      </c>
      <c r="P207">
        <v>29301315.300000001</v>
      </c>
      <c r="Q207">
        <v>4203.4390000000003</v>
      </c>
      <c r="U207">
        <v>87752820</v>
      </c>
    </row>
    <row r="208" spans="1:57" x14ac:dyDescent="0.25">
      <c r="A208" s="5"/>
      <c r="B208" s="5" t="s">
        <v>27</v>
      </c>
      <c r="C208" s="1">
        <v>2019</v>
      </c>
      <c r="G208">
        <v>4827468</v>
      </c>
      <c r="I208">
        <v>18826570</v>
      </c>
      <c r="J208">
        <v>134071018</v>
      </c>
      <c r="K208">
        <v>0</v>
      </c>
      <c r="L208">
        <v>255799.69699999999</v>
      </c>
      <c r="M208">
        <v>91080825</v>
      </c>
      <c r="N208">
        <v>0</v>
      </c>
      <c r="O208">
        <v>4510368</v>
      </c>
      <c r="P208">
        <v>0</v>
      </c>
      <c r="U208">
        <v>6403714</v>
      </c>
    </row>
    <row r="209" spans="1:21" x14ac:dyDescent="0.25">
      <c r="A209" s="5"/>
      <c r="B209" s="5"/>
      <c r="C209" s="1">
        <v>2050</v>
      </c>
      <c r="G209">
        <v>8799.7373000000007</v>
      </c>
      <c r="I209">
        <v>41350910</v>
      </c>
      <c r="J209">
        <v>76182223</v>
      </c>
      <c r="K209">
        <v>884591.15999999992</v>
      </c>
      <c r="L209">
        <v>233675.897</v>
      </c>
      <c r="M209">
        <v>0.14060199000000001</v>
      </c>
      <c r="N209">
        <v>1328786</v>
      </c>
      <c r="O209">
        <v>9914.9369999999999</v>
      </c>
      <c r="P209">
        <v>5012683.5999999996</v>
      </c>
      <c r="U209">
        <v>13443.39</v>
      </c>
    </row>
    <row r="210" spans="1:21" x14ac:dyDescent="0.25">
      <c r="A210" s="5"/>
      <c r="B210" s="5" t="s">
        <v>28</v>
      </c>
      <c r="C210" s="1">
        <v>2019</v>
      </c>
      <c r="F210">
        <v>216163500</v>
      </c>
      <c r="H210">
        <v>344926100</v>
      </c>
      <c r="J210">
        <v>627353.30000000005</v>
      </c>
      <c r="K210">
        <v>0</v>
      </c>
      <c r="M210">
        <v>180038.5</v>
      </c>
      <c r="N210">
        <v>28239650</v>
      </c>
      <c r="O210">
        <v>89459.839999999997</v>
      </c>
      <c r="P210">
        <v>0</v>
      </c>
    </row>
    <row r="211" spans="1:21" x14ac:dyDescent="0.25">
      <c r="A211" s="5"/>
      <c r="B211" s="5"/>
      <c r="C211" s="1">
        <v>2050</v>
      </c>
      <c r="F211">
        <v>33317610</v>
      </c>
      <c r="H211">
        <v>571681.4</v>
      </c>
      <c r="J211">
        <v>77494430</v>
      </c>
      <c r="K211">
        <v>53338420</v>
      </c>
      <c r="M211">
        <v>144030.79999999999</v>
      </c>
      <c r="N211">
        <v>8606368</v>
      </c>
      <c r="O211">
        <v>89459.839999999997</v>
      </c>
      <c r="P211">
        <v>25677710</v>
      </c>
    </row>
    <row r="212" spans="1:21" x14ac:dyDescent="0.25">
      <c r="A212" s="5" t="s">
        <v>3</v>
      </c>
      <c r="B212" s="5" t="s">
        <v>22</v>
      </c>
      <c r="C212" s="1">
        <v>2019</v>
      </c>
      <c r="M212">
        <v>7126865.1600000001</v>
      </c>
      <c r="P212">
        <v>1750154.2620000001</v>
      </c>
    </row>
    <row r="213" spans="1:21" x14ac:dyDescent="0.25">
      <c r="A213" s="5"/>
      <c r="B213" s="5"/>
      <c r="C213" s="1">
        <v>2050</v>
      </c>
      <c r="M213">
        <v>7126865.1600000001</v>
      </c>
      <c r="P213">
        <v>1750154.2620000001</v>
      </c>
    </row>
    <row r="214" spans="1:21" x14ac:dyDescent="0.25">
      <c r="A214" s="5"/>
      <c r="B214" s="5" t="s">
        <v>23</v>
      </c>
      <c r="C214" s="1">
        <v>2019</v>
      </c>
      <c r="G214">
        <v>37540.576000000001</v>
      </c>
      <c r="J214">
        <v>134139423</v>
      </c>
      <c r="L214">
        <v>258988.23</v>
      </c>
      <c r="M214">
        <v>68765769.799999997</v>
      </c>
      <c r="O214">
        <v>2696164.5</v>
      </c>
      <c r="P214">
        <v>55381.48</v>
      </c>
    </row>
    <row r="215" spans="1:21" x14ac:dyDescent="0.25">
      <c r="A215" s="5"/>
      <c r="B215" s="5"/>
      <c r="C215" s="1">
        <v>2050</v>
      </c>
      <c r="G215">
        <v>26641.70218</v>
      </c>
      <c r="J215">
        <v>115351525</v>
      </c>
      <c r="L215">
        <v>243753.522</v>
      </c>
      <c r="M215">
        <v>37346063</v>
      </c>
      <c r="O215">
        <v>1884182.4</v>
      </c>
      <c r="P215">
        <v>54234.46</v>
      </c>
    </row>
    <row r="216" spans="1:21" x14ac:dyDescent="0.25">
      <c r="A216" s="5"/>
      <c r="B216" s="5" t="s">
        <v>24</v>
      </c>
      <c r="C216" s="1">
        <v>2019</v>
      </c>
      <c r="E216">
        <v>62546650</v>
      </c>
      <c r="G216">
        <v>67140.179999999993</v>
      </c>
      <c r="M216">
        <v>98959233.789999992</v>
      </c>
      <c r="N216">
        <v>64130000.100000001</v>
      </c>
      <c r="O216">
        <v>5220.8217999999997</v>
      </c>
      <c r="P216">
        <v>211382.7</v>
      </c>
      <c r="Q216">
        <v>437311</v>
      </c>
      <c r="R216">
        <v>62627730</v>
      </c>
      <c r="S216">
        <v>363857100</v>
      </c>
      <c r="T216">
        <v>43192630</v>
      </c>
      <c r="U216">
        <v>4992240</v>
      </c>
    </row>
    <row r="217" spans="1:21" x14ac:dyDescent="0.25">
      <c r="A217" s="5"/>
      <c r="B217" s="5"/>
      <c r="C217" s="1">
        <v>2050</v>
      </c>
      <c r="E217">
        <v>0</v>
      </c>
      <c r="G217">
        <v>0</v>
      </c>
      <c r="M217">
        <v>22510003.789999999</v>
      </c>
      <c r="N217">
        <v>64130000.100000001</v>
      </c>
      <c r="O217">
        <v>5220.8217999999997</v>
      </c>
      <c r="P217">
        <v>107773.3</v>
      </c>
      <c r="Q217">
        <v>864144.9</v>
      </c>
      <c r="R217">
        <v>61941140</v>
      </c>
      <c r="S217">
        <v>353505700</v>
      </c>
      <c r="T217">
        <v>45456160</v>
      </c>
      <c r="U217">
        <v>4584367</v>
      </c>
    </row>
    <row r="218" spans="1:21" x14ac:dyDescent="0.25">
      <c r="A218" s="5"/>
      <c r="B218" s="5" t="s">
        <v>26</v>
      </c>
      <c r="C218" s="1">
        <v>2019</v>
      </c>
      <c r="D218">
        <v>52357190</v>
      </c>
      <c r="E218">
        <v>4817770</v>
      </c>
      <c r="G218">
        <v>88801676.086999997</v>
      </c>
      <c r="J218">
        <v>52488966.5</v>
      </c>
      <c r="K218">
        <v>0</v>
      </c>
      <c r="L218">
        <v>95302.543000000005</v>
      </c>
      <c r="M218">
        <v>102416770.5</v>
      </c>
      <c r="N218">
        <v>5057415</v>
      </c>
      <c r="O218">
        <v>4246659.8</v>
      </c>
      <c r="Q218">
        <v>4142.027</v>
      </c>
      <c r="U218">
        <v>114600340</v>
      </c>
    </row>
    <row r="219" spans="1:21" x14ac:dyDescent="0.25">
      <c r="A219" s="5"/>
      <c r="B219" s="5"/>
      <c r="C219" s="1">
        <v>2050</v>
      </c>
      <c r="D219">
        <v>52357190</v>
      </c>
      <c r="E219">
        <v>4848435</v>
      </c>
      <c r="G219">
        <v>91403762.086999997</v>
      </c>
      <c r="J219">
        <v>54207612.200000003</v>
      </c>
      <c r="K219">
        <v>123444.6</v>
      </c>
      <c r="L219">
        <v>104841.28599999999</v>
      </c>
      <c r="M219">
        <v>104505504.09999999</v>
      </c>
      <c r="N219">
        <v>5228047</v>
      </c>
      <c r="O219">
        <v>4388793.3</v>
      </c>
      <c r="Q219">
        <v>4281.7749999999996</v>
      </c>
      <c r="U219">
        <v>116140050</v>
      </c>
    </row>
    <row r="220" spans="1:21" x14ac:dyDescent="0.25">
      <c r="A220" s="5"/>
      <c r="B220" s="5" t="s">
        <v>27</v>
      </c>
      <c r="C220" s="1">
        <v>2019</v>
      </c>
      <c r="G220">
        <v>4827468</v>
      </c>
      <c r="I220">
        <v>18826570</v>
      </c>
      <c r="J220">
        <v>134071018</v>
      </c>
      <c r="L220">
        <v>255799.69699999999</v>
      </c>
      <c r="M220">
        <v>91080825</v>
      </c>
      <c r="O220">
        <v>4510368</v>
      </c>
      <c r="U220">
        <v>6403714</v>
      </c>
    </row>
    <row r="221" spans="1:21" x14ac:dyDescent="0.25">
      <c r="A221" s="5"/>
      <c r="B221" s="5"/>
      <c r="C221" s="1">
        <v>2050</v>
      </c>
      <c r="G221">
        <v>1695649.8</v>
      </c>
      <c r="I221">
        <v>70790150</v>
      </c>
      <c r="J221">
        <v>125936494</v>
      </c>
      <c r="L221">
        <v>261495.67300000001</v>
      </c>
      <c r="M221">
        <v>27703429</v>
      </c>
      <c r="O221">
        <v>1473138.3</v>
      </c>
      <c r="U221">
        <v>1273087</v>
      </c>
    </row>
    <row r="222" spans="1:21" x14ac:dyDescent="0.25">
      <c r="A222" s="5"/>
      <c r="B222" s="5" t="s">
        <v>28</v>
      </c>
      <c r="C222" s="1">
        <v>2019</v>
      </c>
      <c r="F222">
        <v>216163500</v>
      </c>
      <c r="H222">
        <v>344926100</v>
      </c>
      <c r="J222">
        <v>627353.30000000005</v>
      </c>
      <c r="K222">
        <v>0</v>
      </c>
      <c r="M222">
        <v>180038.5</v>
      </c>
      <c r="N222">
        <v>28239650</v>
      </c>
      <c r="O222">
        <v>89459.839999999997</v>
      </c>
      <c r="P222">
        <v>0</v>
      </c>
    </row>
    <row r="223" spans="1:21" x14ac:dyDescent="0.25">
      <c r="A223" s="5"/>
      <c r="B223" s="5"/>
      <c r="C223" s="1">
        <v>2050</v>
      </c>
      <c r="F223">
        <v>104313400</v>
      </c>
      <c r="H223">
        <v>37755550</v>
      </c>
      <c r="J223">
        <v>98403740</v>
      </c>
      <c r="K223">
        <v>15726180</v>
      </c>
      <c r="M223">
        <v>144030.79999999999</v>
      </c>
      <c r="N223">
        <v>40194070</v>
      </c>
      <c r="O223">
        <v>89459.839999999997</v>
      </c>
      <c r="P223">
        <v>36007.699999999997</v>
      </c>
    </row>
    <row r="224" spans="1:21" x14ac:dyDescent="0.25">
      <c r="A224" s="5" t="s">
        <v>4</v>
      </c>
      <c r="B224" s="5" t="s">
        <v>22</v>
      </c>
      <c r="C224" s="1">
        <v>2019</v>
      </c>
      <c r="M224">
        <v>7126865.1600000001</v>
      </c>
      <c r="P224">
        <v>1750154.2620000001</v>
      </c>
    </row>
    <row r="225" spans="1:21" x14ac:dyDescent="0.25">
      <c r="A225" s="5"/>
      <c r="B225" s="5"/>
      <c r="C225" s="1">
        <v>2050</v>
      </c>
      <c r="M225">
        <v>7126865.1600000001</v>
      </c>
      <c r="P225">
        <v>1750154.2620000001</v>
      </c>
    </row>
    <row r="226" spans="1:21" x14ac:dyDescent="0.25">
      <c r="A226" s="5"/>
      <c r="B226" s="5" t="s">
        <v>23</v>
      </c>
      <c r="C226" s="1">
        <v>2019</v>
      </c>
      <c r="G226">
        <v>37540.576000000001</v>
      </c>
      <c r="J226">
        <v>134139423</v>
      </c>
      <c r="L226">
        <v>258988.23</v>
      </c>
      <c r="M226">
        <v>68765769.799999997</v>
      </c>
      <c r="O226">
        <v>2696164.5</v>
      </c>
      <c r="P226">
        <v>55381.48</v>
      </c>
    </row>
    <row r="227" spans="1:21" x14ac:dyDescent="0.25">
      <c r="A227" s="5"/>
      <c r="B227" s="5"/>
      <c r="C227" s="1">
        <v>2050</v>
      </c>
      <c r="G227">
        <v>45360.137999999999</v>
      </c>
      <c r="J227">
        <v>151110018</v>
      </c>
      <c r="L227">
        <v>262202.59999999998</v>
      </c>
      <c r="M227">
        <v>64997120.899999999</v>
      </c>
      <c r="O227">
        <v>2890590.4</v>
      </c>
      <c r="P227">
        <v>55381.48</v>
      </c>
    </row>
    <row r="228" spans="1:21" x14ac:dyDescent="0.25">
      <c r="A228" s="5"/>
      <c r="B228" s="5" t="s">
        <v>24</v>
      </c>
      <c r="C228" s="1">
        <v>2019</v>
      </c>
      <c r="E228">
        <v>62546650</v>
      </c>
      <c r="G228">
        <v>67140.179999999993</v>
      </c>
      <c r="M228">
        <v>98959233.789999992</v>
      </c>
      <c r="N228">
        <v>64130000.100000001</v>
      </c>
      <c r="O228">
        <v>5220.8217999999997</v>
      </c>
      <c r="P228">
        <v>211382.7</v>
      </c>
      <c r="Q228">
        <v>437311</v>
      </c>
      <c r="R228">
        <v>62627730</v>
      </c>
      <c r="S228">
        <v>363857100</v>
      </c>
      <c r="T228">
        <v>43192630</v>
      </c>
      <c r="U228">
        <v>4992240</v>
      </c>
    </row>
    <row r="229" spans="1:21" x14ac:dyDescent="0.25">
      <c r="A229" s="5"/>
      <c r="B229" s="5"/>
      <c r="C229" s="1">
        <v>2050</v>
      </c>
      <c r="E229">
        <v>62546650</v>
      </c>
      <c r="G229">
        <v>67140.179999999993</v>
      </c>
      <c r="M229">
        <v>98959233.789999992</v>
      </c>
      <c r="N229">
        <v>64130000.100000001</v>
      </c>
      <c r="O229">
        <v>5220.8217999999997</v>
      </c>
      <c r="P229">
        <v>211382.7</v>
      </c>
      <c r="Q229">
        <v>437311.1</v>
      </c>
      <c r="R229">
        <v>62627730</v>
      </c>
      <c r="S229">
        <v>363857100</v>
      </c>
      <c r="T229">
        <v>43192630</v>
      </c>
      <c r="U229">
        <v>4992240</v>
      </c>
    </row>
    <row r="230" spans="1:21" x14ac:dyDescent="0.25">
      <c r="A230" s="5"/>
      <c r="B230" s="5" t="s">
        <v>26</v>
      </c>
      <c r="C230" s="1">
        <v>2019</v>
      </c>
      <c r="D230">
        <v>52357190</v>
      </c>
      <c r="E230">
        <v>4817770</v>
      </c>
      <c r="G230">
        <v>88801676.086999997</v>
      </c>
      <c r="J230">
        <v>52488966.5</v>
      </c>
      <c r="L230">
        <v>95302.543000000005</v>
      </c>
      <c r="M230">
        <v>102416770.5</v>
      </c>
      <c r="N230">
        <v>5057415</v>
      </c>
      <c r="O230">
        <v>4246659.8</v>
      </c>
      <c r="Q230">
        <v>4142.027</v>
      </c>
      <c r="U230">
        <v>114600340</v>
      </c>
    </row>
    <row r="231" spans="1:21" x14ac:dyDescent="0.25">
      <c r="A231" s="5"/>
      <c r="B231" s="5"/>
      <c r="C231" s="1">
        <v>2050</v>
      </c>
      <c r="D231">
        <v>52357190</v>
      </c>
      <c r="E231">
        <v>4859191</v>
      </c>
      <c r="G231">
        <v>91437196.086999997</v>
      </c>
      <c r="J231">
        <v>54222472.100000001</v>
      </c>
      <c r="L231">
        <v>89970.417000000001</v>
      </c>
      <c r="M231">
        <v>104713784.09999999</v>
      </c>
      <c r="N231">
        <v>5228047</v>
      </c>
      <c r="O231">
        <v>4388793.3</v>
      </c>
      <c r="Q231">
        <v>4281.7749999999996</v>
      </c>
      <c r="U231">
        <v>116548720</v>
      </c>
    </row>
    <row r="232" spans="1:21" x14ac:dyDescent="0.25">
      <c r="A232" s="5"/>
      <c r="B232" s="5" t="s">
        <v>27</v>
      </c>
      <c r="C232" s="1">
        <v>2019</v>
      </c>
      <c r="G232">
        <v>4827468</v>
      </c>
      <c r="I232">
        <v>18826570</v>
      </c>
      <c r="J232">
        <v>134071018</v>
      </c>
      <c r="L232">
        <v>255799.69699999999</v>
      </c>
      <c r="M232">
        <v>91080825</v>
      </c>
      <c r="O232">
        <v>4510368</v>
      </c>
      <c r="U232">
        <v>6403714</v>
      </c>
    </row>
    <row r="233" spans="1:21" x14ac:dyDescent="0.25">
      <c r="A233" s="5"/>
      <c r="B233" s="5"/>
      <c r="C233" s="1">
        <v>2050</v>
      </c>
      <c r="G233">
        <v>4760752</v>
      </c>
      <c r="I233">
        <v>18892820</v>
      </c>
      <c r="J233">
        <v>151048229</v>
      </c>
      <c r="L233">
        <v>257917.43700000001</v>
      </c>
      <c r="M233">
        <v>92761359</v>
      </c>
      <c r="O233">
        <v>4664835</v>
      </c>
      <c r="U233">
        <v>5688009</v>
      </c>
    </row>
    <row r="234" spans="1:21" x14ac:dyDescent="0.25">
      <c r="A234" s="5"/>
      <c r="B234" s="5" t="s">
        <v>28</v>
      </c>
      <c r="C234" s="1">
        <v>2019</v>
      </c>
      <c r="F234">
        <v>216163500</v>
      </c>
      <c r="H234">
        <v>344926100</v>
      </c>
      <c r="J234">
        <v>627353.30000000005</v>
      </c>
      <c r="M234">
        <v>180038.5</v>
      </c>
      <c r="N234">
        <v>28239650</v>
      </c>
      <c r="O234">
        <v>89459.839999999997</v>
      </c>
    </row>
    <row r="235" spans="1:21" x14ac:dyDescent="0.25">
      <c r="A235" s="5"/>
      <c r="B235" s="5"/>
      <c r="C235" s="1">
        <v>2050</v>
      </c>
      <c r="F235">
        <v>205485600</v>
      </c>
      <c r="H235">
        <v>285171200</v>
      </c>
      <c r="J235">
        <v>2427427</v>
      </c>
      <c r="M235">
        <v>180038.5</v>
      </c>
      <c r="N235">
        <v>23663060</v>
      </c>
      <c r="O235">
        <v>89459.839999999997</v>
      </c>
    </row>
    <row r="236" spans="1:21" x14ac:dyDescent="0.25">
      <c r="A236" s="5" t="s">
        <v>5</v>
      </c>
      <c r="B236" s="5" t="s">
        <v>22</v>
      </c>
      <c r="C236" s="1">
        <v>2019</v>
      </c>
      <c r="J236">
        <v>0</v>
      </c>
      <c r="L236">
        <v>0</v>
      </c>
      <c r="M236">
        <v>7126865.1600000001</v>
      </c>
      <c r="P236">
        <v>1750154.2620000001</v>
      </c>
    </row>
    <row r="237" spans="1:21" x14ac:dyDescent="0.25">
      <c r="A237" s="5"/>
      <c r="B237" s="5"/>
      <c r="C237" s="1">
        <v>2050</v>
      </c>
      <c r="J237">
        <v>2868770</v>
      </c>
      <c r="L237">
        <v>870205.5</v>
      </c>
      <c r="M237">
        <v>3387889.16</v>
      </c>
      <c r="P237">
        <v>1750154.2620000001</v>
      </c>
    </row>
    <row r="238" spans="1:21" x14ac:dyDescent="0.25">
      <c r="A238" s="5"/>
      <c r="B238" s="5" t="s">
        <v>23</v>
      </c>
      <c r="C238" s="1">
        <v>2019</v>
      </c>
      <c r="G238">
        <v>37540.576000000001</v>
      </c>
      <c r="J238">
        <v>134139423</v>
      </c>
      <c r="L238">
        <v>258988.23</v>
      </c>
      <c r="M238">
        <v>68765769.799999997</v>
      </c>
      <c r="O238">
        <v>2696164.5</v>
      </c>
      <c r="P238">
        <v>55381.48</v>
      </c>
    </row>
    <row r="239" spans="1:21" x14ac:dyDescent="0.25">
      <c r="A239" s="5"/>
      <c r="B239" s="5"/>
      <c r="C239" s="1">
        <v>2050</v>
      </c>
      <c r="G239">
        <v>18185.908230000001</v>
      </c>
      <c r="J239">
        <v>65375708</v>
      </c>
      <c r="L239">
        <v>21049062.100000001</v>
      </c>
      <c r="M239">
        <v>11625863.800000001</v>
      </c>
      <c r="O239">
        <v>1262233.02</v>
      </c>
      <c r="P239">
        <v>36879.56</v>
      </c>
    </row>
    <row r="240" spans="1:21" x14ac:dyDescent="0.25">
      <c r="A240" s="5"/>
      <c r="B240" s="5" t="s">
        <v>24</v>
      </c>
      <c r="C240" s="1">
        <v>2019</v>
      </c>
      <c r="E240">
        <v>62546650</v>
      </c>
      <c r="G240">
        <v>67140.179999999993</v>
      </c>
      <c r="J240">
        <v>0</v>
      </c>
      <c r="L240">
        <v>0</v>
      </c>
      <c r="M240">
        <v>98959233.789999992</v>
      </c>
      <c r="N240">
        <v>64130000.100000001</v>
      </c>
      <c r="O240">
        <v>5220.8217999999997</v>
      </c>
      <c r="P240">
        <v>211382.7</v>
      </c>
      <c r="Q240">
        <v>437311</v>
      </c>
      <c r="R240">
        <v>62627730</v>
      </c>
      <c r="S240">
        <v>363857100</v>
      </c>
      <c r="T240">
        <v>43192630</v>
      </c>
      <c r="U240">
        <v>4992240</v>
      </c>
    </row>
    <row r="241" spans="1:21" x14ac:dyDescent="0.25">
      <c r="A241" s="5"/>
      <c r="B241" s="5"/>
      <c r="C241" s="1">
        <v>2050</v>
      </c>
      <c r="E241">
        <v>0</v>
      </c>
      <c r="G241">
        <v>0</v>
      </c>
      <c r="J241">
        <v>7537894</v>
      </c>
      <c r="L241">
        <v>2781478</v>
      </c>
      <c r="M241">
        <v>8984606.7899999991</v>
      </c>
      <c r="N241">
        <v>46652280.100000001</v>
      </c>
      <c r="O241">
        <v>2244.6558</v>
      </c>
      <c r="P241">
        <v>101173.9</v>
      </c>
      <c r="Q241">
        <v>849921.7</v>
      </c>
      <c r="R241">
        <v>60468120</v>
      </c>
      <c r="S241">
        <v>344097400</v>
      </c>
      <c r="T241">
        <v>44510120</v>
      </c>
      <c r="U241">
        <v>4473305</v>
      </c>
    </row>
    <row r="242" spans="1:21" x14ac:dyDescent="0.25">
      <c r="A242" s="5"/>
      <c r="B242" s="5" t="s">
        <v>26</v>
      </c>
      <c r="C242" s="1">
        <v>2019</v>
      </c>
      <c r="D242">
        <v>52357190</v>
      </c>
      <c r="E242">
        <v>4817770</v>
      </c>
      <c r="G242">
        <v>88801676.086999997</v>
      </c>
      <c r="J242">
        <v>52488966.5</v>
      </c>
      <c r="K242">
        <v>0</v>
      </c>
      <c r="L242">
        <v>95302.543000000005</v>
      </c>
      <c r="M242">
        <v>102416770.5</v>
      </c>
      <c r="N242">
        <v>5057415</v>
      </c>
      <c r="O242">
        <v>4246659.8</v>
      </c>
      <c r="Q242">
        <v>4142.027</v>
      </c>
      <c r="U242">
        <v>114600340</v>
      </c>
    </row>
    <row r="243" spans="1:21" x14ac:dyDescent="0.25">
      <c r="A243" s="5"/>
      <c r="B243" s="5"/>
      <c r="C243" s="1">
        <v>2050</v>
      </c>
      <c r="D243">
        <v>52357184</v>
      </c>
      <c r="E243">
        <v>3809297</v>
      </c>
      <c r="G243">
        <v>33484580.087000001</v>
      </c>
      <c r="J243">
        <v>90903937</v>
      </c>
      <c r="K243">
        <v>123444.6</v>
      </c>
      <c r="L243">
        <v>22468017.399999999</v>
      </c>
      <c r="M243">
        <v>43625220.100000001</v>
      </c>
      <c r="N243">
        <v>3665999</v>
      </c>
      <c r="O243">
        <v>1899210.3</v>
      </c>
      <c r="Q243">
        <v>4203.4390000000003</v>
      </c>
      <c r="U243">
        <v>86876040</v>
      </c>
    </row>
    <row r="244" spans="1:21" x14ac:dyDescent="0.25">
      <c r="A244" s="5"/>
      <c r="B244" s="5" t="s">
        <v>27</v>
      </c>
      <c r="C244" s="1">
        <v>2019</v>
      </c>
      <c r="G244">
        <v>4827468</v>
      </c>
      <c r="I244">
        <v>18826570</v>
      </c>
      <c r="J244">
        <v>134071018</v>
      </c>
      <c r="L244">
        <v>255799.69699999999</v>
      </c>
      <c r="M244">
        <v>91080825</v>
      </c>
      <c r="O244">
        <v>4510368</v>
      </c>
      <c r="U244">
        <v>6403714</v>
      </c>
    </row>
    <row r="245" spans="1:21" x14ac:dyDescent="0.25">
      <c r="A245" s="5"/>
      <c r="B245" s="5"/>
      <c r="C245" s="1">
        <v>2050</v>
      </c>
      <c r="G245">
        <v>8840.1515999999992</v>
      </c>
      <c r="I245">
        <v>51280850</v>
      </c>
      <c r="J245">
        <v>62320201</v>
      </c>
      <c r="L245">
        <v>20434654.100000001</v>
      </c>
      <c r="M245">
        <v>1887942.82</v>
      </c>
      <c r="O245">
        <v>9956.1809999999987</v>
      </c>
      <c r="U245">
        <v>13510.42</v>
      </c>
    </row>
    <row r="246" spans="1:21" x14ac:dyDescent="0.25">
      <c r="A246" s="5"/>
      <c r="B246" s="5" t="s">
        <v>28</v>
      </c>
      <c r="C246" s="1">
        <v>2019</v>
      </c>
      <c r="F246">
        <v>216163500</v>
      </c>
      <c r="H246">
        <v>344926100</v>
      </c>
      <c r="J246">
        <v>627353.30000000005</v>
      </c>
      <c r="K246">
        <v>0</v>
      </c>
      <c r="M246">
        <v>180038.5</v>
      </c>
      <c r="N246">
        <v>28239650</v>
      </c>
      <c r="O246">
        <v>89459.839999999997</v>
      </c>
      <c r="P246">
        <v>0</v>
      </c>
    </row>
    <row r="247" spans="1:21" x14ac:dyDescent="0.25">
      <c r="A247" s="5"/>
      <c r="B247" s="5"/>
      <c r="C247" s="1">
        <v>2050</v>
      </c>
      <c r="F247">
        <v>33317610</v>
      </c>
      <c r="H247">
        <v>571681.4</v>
      </c>
      <c r="J247">
        <v>128676800</v>
      </c>
      <c r="K247">
        <v>13367250</v>
      </c>
      <c r="M247">
        <v>144030.79999999999</v>
      </c>
      <c r="N247">
        <v>8606368</v>
      </c>
      <c r="O247">
        <v>89459.839999999997</v>
      </c>
      <c r="P247">
        <v>36007.699999999997</v>
      </c>
    </row>
    <row r="248" spans="1:21" x14ac:dyDescent="0.25">
      <c r="A248" s="5" t="s">
        <v>6</v>
      </c>
      <c r="B248" s="5" t="s">
        <v>22</v>
      </c>
      <c r="C248" s="1">
        <v>2019</v>
      </c>
      <c r="K248">
        <v>0</v>
      </c>
      <c r="M248">
        <v>7126865.1600000001</v>
      </c>
      <c r="P248">
        <v>1750154.2620000001</v>
      </c>
    </row>
    <row r="249" spans="1:21" x14ac:dyDescent="0.25">
      <c r="A249" s="5"/>
      <c r="B249" s="5"/>
      <c r="C249" s="1">
        <v>2050</v>
      </c>
      <c r="K249">
        <v>1069030.2309999999</v>
      </c>
      <c r="M249">
        <v>0.16991769100000001</v>
      </c>
      <c r="P249">
        <v>7807990.2599999998</v>
      </c>
    </row>
    <row r="250" spans="1:21" x14ac:dyDescent="0.25">
      <c r="A250" s="5"/>
      <c r="B250" s="5" t="s">
        <v>23</v>
      </c>
      <c r="C250" s="1">
        <v>2019</v>
      </c>
      <c r="G250">
        <v>37540.576000000001</v>
      </c>
      <c r="J250">
        <v>134139423</v>
      </c>
      <c r="K250">
        <v>0</v>
      </c>
      <c r="L250">
        <v>258988.23</v>
      </c>
      <c r="M250">
        <v>68765769.799999997</v>
      </c>
      <c r="O250">
        <v>2696164.5</v>
      </c>
      <c r="P250">
        <v>55381.48</v>
      </c>
    </row>
    <row r="251" spans="1:21" x14ac:dyDescent="0.25">
      <c r="A251" s="5"/>
      <c r="B251" s="5"/>
      <c r="C251" s="1">
        <v>2050</v>
      </c>
      <c r="G251">
        <v>18185.908230000001</v>
      </c>
      <c r="J251">
        <v>58124409</v>
      </c>
      <c r="K251">
        <v>1743879.69</v>
      </c>
      <c r="L251">
        <v>28300362.5</v>
      </c>
      <c r="M251">
        <v>0.27718221799999998</v>
      </c>
      <c r="O251">
        <v>1262233.02</v>
      </c>
      <c r="P251">
        <v>9918864.4000000004</v>
      </c>
    </row>
    <row r="252" spans="1:21" x14ac:dyDescent="0.25">
      <c r="A252" s="5"/>
      <c r="B252" s="5" t="s">
        <v>24</v>
      </c>
      <c r="C252" s="1">
        <v>2019</v>
      </c>
      <c r="E252">
        <v>62546650</v>
      </c>
      <c r="G252">
        <v>67140.179999999993</v>
      </c>
      <c r="K252">
        <v>0</v>
      </c>
      <c r="M252">
        <v>98959233.789999992</v>
      </c>
      <c r="N252">
        <v>64130000.100000001</v>
      </c>
      <c r="O252">
        <v>5220.8217999999997</v>
      </c>
      <c r="P252">
        <v>211382.7</v>
      </c>
      <c r="Q252">
        <v>437311</v>
      </c>
      <c r="R252">
        <v>62627730</v>
      </c>
      <c r="S252">
        <v>363857100</v>
      </c>
      <c r="T252">
        <v>43192630</v>
      </c>
      <c r="U252">
        <v>4992240</v>
      </c>
    </row>
    <row r="253" spans="1:21" x14ac:dyDescent="0.25">
      <c r="A253" s="5"/>
      <c r="B253" s="5"/>
      <c r="C253" s="1">
        <v>2050</v>
      </c>
      <c r="E253">
        <v>0</v>
      </c>
      <c r="G253">
        <v>0</v>
      </c>
      <c r="K253">
        <v>7669052.068</v>
      </c>
      <c r="M253">
        <v>0.3263640974</v>
      </c>
      <c r="N253">
        <v>46652280.100000001</v>
      </c>
      <c r="O253">
        <v>1774.7346</v>
      </c>
      <c r="P253">
        <v>11736573.68</v>
      </c>
      <c r="Q253">
        <v>849921.7</v>
      </c>
      <c r="R253">
        <v>60468120</v>
      </c>
      <c r="S253">
        <v>344097500</v>
      </c>
      <c r="T253">
        <v>44510130</v>
      </c>
      <c r="U253">
        <v>4473305</v>
      </c>
    </row>
    <row r="254" spans="1:21" x14ac:dyDescent="0.25">
      <c r="A254" s="5"/>
      <c r="B254" s="5" t="s">
        <v>26</v>
      </c>
      <c r="C254" s="1">
        <v>2019</v>
      </c>
      <c r="D254">
        <v>52357190</v>
      </c>
      <c r="E254">
        <v>4817770</v>
      </c>
      <c r="G254">
        <v>88801676.086999997</v>
      </c>
      <c r="J254">
        <v>52488966.5</v>
      </c>
      <c r="K254">
        <v>0</v>
      </c>
      <c r="L254">
        <v>95302.543000000005</v>
      </c>
      <c r="M254">
        <v>102416770.5</v>
      </c>
      <c r="N254">
        <v>5057415</v>
      </c>
      <c r="O254">
        <v>4246659.8</v>
      </c>
      <c r="P254">
        <v>0</v>
      </c>
      <c r="Q254">
        <v>4142.027</v>
      </c>
      <c r="U254">
        <v>114600340</v>
      </c>
    </row>
    <row r="255" spans="1:21" x14ac:dyDescent="0.25">
      <c r="A255" s="5"/>
      <c r="B255" s="5"/>
      <c r="C255" s="1">
        <v>2050</v>
      </c>
      <c r="D255">
        <v>52357184</v>
      </c>
      <c r="E255">
        <v>2071817.1</v>
      </c>
      <c r="G255">
        <v>23898670.087000001</v>
      </c>
      <c r="J255">
        <v>143603386.90000001</v>
      </c>
      <c r="K255">
        <v>95287785.920000002</v>
      </c>
      <c r="L255">
        <v>12038430.1</v>
      </c>
      <c r="M255">
        <v>0.81677234100000007</v>
      </c>
      <c r="N255">
        <v>3665999</v>
      </c>
      <c r="O255">
        <v>1516625.9</v>
      </c>
      <c r="P255">
        <v>29119229.300000001</v>
      </c>
      <c r="Q255">
        <v>4203.4390000000003</v>
      </c>
      <c r="U255">
        <v>86876040</v>
      </c>
    </row>
    <row r="256" spans="1:21" x14ac:dyDescent="0.25">
      <c r="A256" s="5"/>
      <c r="B256" s="5" t="s">
        <v>27</v>
      </c>
      <c r="C256" s="1">
        <v>2019</v>
      </c>
      <c r="G256">
        <v>4827468</v>
      </c>
      <c r="I256">
        <v>18826570</v>
      </c>
      <c r="J256">
        <v>134071018</v>
      </c>
      <c r="K256">
        <v>0</v>
      </c>
      <c r="L256">
        <v>255799.69699999999</v>
      </c>
      <c r="M256">
        <v>91080825</v>
      </c>
      <c r="O256">
        <v>4510368</v>
      </c>
      <c r="P256">
        <v>0</v>
      </c>
      <c r="U256">
        <v>6403714</v>
      </c>
    </row>
    <row r="257" spans="1:21" x14ac:dyDescent="0.25">
      <c r="A257" s="5"/>
      <c r="B257" s="5"/>
      <c r="C257" s="1">
        <v>2050</v>
      </c>
      <c r="G257">
        <v>8840.1515999999992</v>
      </c>
      <c r="I257">
        <v>51280850</v>
      </c>
      <c r="J257">
        <v>55504589</v>
      </c>
      <c r="K257">
        <v>283191.37800000003</v>
      </c>
      <c r="L257">
        <v>27250269.300000001</v>
      </c>
      <c r="M257">
        <v>4.5012060600000001E-2</v>
      </c>
      <c r="O257">
        <v>9956.1809999999987</v>
      </c>
      <c r="P257">
        <v>1604751.64</v>
      </c>
      <c r="U257">
        <v>13510.42</v>
      </c>
    </row>
    <row r="258" spans="1:21" x14ac:dyDescent="0.25">
      <c r="A258" s="5"/>
      <c r="B258" s="5" t="s">
        <v>28</v>
      </c>
      <c r="C258" s="1">
        <v>2019</v>
      </c>
      <c r="F258">
        <v>216163500</v>
      </c>
      <c r="H258">
        <v>344926100</v>
      </c>
      <c r="J258">
        <v>627353.30000000005</v>
      </c>
      <c r="K258">
        <v>0</v>
      </c>
      <c r="M258">
        <v>180038.5</v>
      </c>
      <c r="N258">
        <v>28239650</v>
      </c>
      <c r="O258">
        <v>89459.839999999997</v>
      </c>
      <c r="P258">
        <v>0</v>
      </c>
    </row>
    <row r="259" spans="1:21" x14ac:dyDescent="0.25">
      <c r="A259" s="5"/>
      <c r="B259" s="5"/>
      <c r="C259" s="1">
        <v>2050</v>
      </c>
      <c r="F259">
        <v>33317610</v>
      </c>
      <c r="H259">
        <v>571681.4</v>
      </c>
      <c r="J259">
        <v>77494430</v>
      </c>
      <c r="K259">
        <v>53338420</v>
      </c>
      <c r="M259">
        <v>144030.79999999999</v>
      </c>
      <c r="N259">
        <v>8606368</v>
      </c>
      <c r="O259">
        <v>89459.839999999997</v>
      </c>
      <c r="P259">
        <v>25677710</v>
      </c>
    </row>
  </sheetData>
  <mergeCells count="50">
    <mergeCell ref="B250:B251"/>
    <mergeCell ref="B252:B253"/>
    <mergeCell ref="B254:B255"/>
    <mergeCell ref="B256:B257"/>
    <mergeCell ref="B258:B259"/>
    <mergeCell ref="B240:B241"/>
    <mergeCell ref="B242:B243"/>
    <mergeCell ref="B244:B245"/>
    <mergeCell ref="B246:B247"/>
    <mergeCell ref="B248:B249"/>
    <mergeCell ref="B230:B231"/>
    <mergeCell ref="B232:B233"/>
    <mergeCell ref="B234:B235"/>
    <mergeCell ref="B236:B237"/>
    <mergeCell ref="B238:B239"/>
    <mergeCell ref="B220:B221"/>
    <mergeCell ref="B222:B223"/>
    <mergeCell ref="B224:B225"/>
    <mergeCell ref="B226:B227"/>
    <mergeCell ref="B228:B229"/>
    <mergeCell ref="B210:B211"/>
    <mergeCell ref="B212:B213"/>
    <mergeCell ref="B214:B215"/>
    <mergeCell ref="B216:B217"/>
    <mergeCell ref="B218:B219"/>
    <mergeCell ref="B200:B201"/>
    <mergeCell ref="B202:B203"/>
    <mergeCell ref="B204:B205"/>
    <mergeCell ref="B206:B207"/>
    <mergeCell ref="B208:B209"/>
    <mergeCell ref="A200:A211"/>
    <mergeCell ref="A212:A223"/>
    <mergeCell ref="A224:A235"/>
    <mergeCell ref="A236:A247"/>
    <mergeCell ref="A248:A259"/>
    <mergeCell ref="A103:A120"/>
    <mergeCell ref="A122:A139"/>
    <mergeCell ref="A141:A158"/>
    <mergeCell ref="A160:A177"/>
    <mergeCell ref="A179:A195"/>
    <mergeCell ref="A50:A58"/>
    <mergeCell ref="A60:A68"/>
    <mergeCell ref="A70:A78"/>
    <mergeCell ref="A80:A88"/>
    <mergeCell ref="A90:A98"/>
    <mergeCell ref="A12:A17"/>
    <mergeCell ref="A19:A24"/>
    <mergeCell ref="A26:A31"/>
    <mergeCell ref="A33:A38"/>
    <mergeCell ref="A40:A4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W8"/>
  <sheetViews>
    <sheetView workbookViewId="0"/>
  </sheetViews>
  <sheetFormatPr defaultRowHeight="15" x14ac:dyDescent="0.25"/>
  <cols>
    <col min="36" max="54" width="20.7109375" customWidth="1"/>
  </cols>
  <sheetData>
    <row r="1" spans="1:49" x14ac:dyDescent="0.25">
      <c r="A1" t="s">
        <v>11</v>
      </c>
      <c r="B1" t="s">
        <v>123</v>
      </c>
    </row>
    <row r="3" spans="1:49" x14ac:dyDescent="0.25">
      <c r="A3" s="1" t="s">
        <v>0</v>
      </c>
      <c r="B3" s="1">
        <v>2019</v>
      </c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  <c r="I3" s="1">
        <v>2026</v>
      </c>
      <c r="J3" s="1">
        <v>2027</v>
      </c>
      <c r="K3" s="1">
        <v>2028</v>
      </c>
      <c r="L3" s="1">
        <v>2029</v>
      </c>
      <c r="M3" s="1">
        <v>2030</v>
      </c>
      <c r="N3" s="1">
        <v>2031</v>
      </c>
      <c r="O3" s="1">
        <v>2032</v>
      </c>
      <c r="P3" s="1">
        <v>2033</v>
      </c>
      <c r="Q3" s="1">
        <v>2034</v>
      </c>
      <c r="R3" s="1">
        <v>2035</v>
      </c>
      <c r="S3" s="1">
        <v>2036</v>
      </c>
      <c r="T3" s="1">
        <v>2037</v>
      </c>
      <c r="U3" s="1">
        <v>2038</v>
      </c>
      <c r="V3" s="1">
        <v>2039</v>
      </c>
      <c r="W3" s="1">
        <v>2040</v>
      </c>
      <c r="X3" s="1">
        <v>2041</v>
      </c>
      <c r="Y3" s="1">
        <v>2042</v>
      </c>
      <c r="Z3" s="1">
        <v>2043</v>
      </c>
      <c r="AA3" s="1">
        <v>2044</v>
      </c>
      <c r="AB3" s="1">
        <v>2045</v>
      </c>
      <c r="AC3" s="1">
        <v>2046</v>
      </c>
      <c r="AD3" s="1">
        <v>2047</v>
      </c>
      <c r="AE3" s="1">
        <v>2048</v>
      </c>
      <c r="AF3" s="1">
        <v>2049</v>
      </c>
      <c r="AG3" s="1">
        <v>2050</v>
      </c>
      <c r="AK3" s="2">
        <f ca="1">INDIRECT(ADDRESS(3,2))</f>
        <v>2019</v>
      </c>
      <c r="AL3" s="2">
        <f ca="1">INDIRECT(ADDRESS(3,8))</f>
        <v>2025</v>
      </c>
      <c r="AM3" s="2" t="str">
        <f ca="1">CONCATENATE("% change ",INDIRECT(ADDRESS(3,2)),"-",INDIRECT(ADDRESS(3,8)))</f>
        <v>% change 2019-2025</v>
      </c>
      <c r="AN3" s="2">
        <f ca="1">INDIRECT(ADDRESS(3,13))</f>
        <v>2030</v>
      </c>
      <c r="AO3" s="2" t="str">
        <f ca="1">CONCATENATE("% change ",INDIRECT(ADDRESS(3,2)),"-",INDIRECT(ADDRESS(3,13)))</f>
        <v>% change 2019-2030</v>
      </c>
      <c r="AP3" s="2">
        <f ca="1">INDIRECT(ADDRESS(3,18))</f>
        <v>2035</v>
      </c>
      <c r="AQ3" s="2" t="str">
        <f ca="1">CONCATENATE("% change ",INDIRECT(ADDRESS(3,2)),"-",INDIRECT(ADDRESS(3,18)))</f>
        <v>% change 2019-2035</v>
      </c>
      <c r="AR3" s="2">
        <f ca="1">INDIRECT(ADDRESS(3,23))</f>
        <v>2040</v>
      </c>
      <c r="AS3" s="2" t="str">
        <f ca="1">CONCATENATE("% change ",INDIRECT(ADDRESS(3,2)),"-",INDIRECT(ADDRESS(3,23)))</f>
        <v>% change 2019-2040</v>
      </c>
      <c r="AT3" s="2">
        <f ca="1">INDIRECT(ADDRESS(3,28))</f>
        <v>2045</v>
      </c>
      <c r="AU3" s="2" t="str">
        <f ca="1">CONCATENATE("% change ",INDIRECT(ADDRESS(3,2)),"-",INDIRECT(ADDRESS(3,28)))</f>
        <v>% change 2019-2045</v>
      </c>
      <c r="AV3" s="2">
        <f ca="1">INDIRECT(ADDRESS(3,33))</f>
        <v>2050</v>
      </c>
      <c r="AW3" s="2" t="str">
        <f ca="1">CONCATENATE("% change ",INDIRECT(ADDRESS(3,2)),"-",INDIRECT(ADDRESS(3,33)))</f>
        <v>% change 2019-2050</v>
      </c>
    </row>
    <row r="4" spans="1:49" x14ac:dyDescent="0.25">
      <c r="A4" s="1" t="s">
        <v>2</v>
      </c>
      <c r="B4">
        <v>287.71839999999997</v>
      </c>
      <c r="C4">
        <v>283.1105</v>
      </c>
      <c r="D4">
        <v>278.31349999999998</v>
      </c>
      <c r="E4">
        <v>274.09129999999999</v>
      </c>
      <c r="F4">
        <v>269.84820000000002</v>
      </c>
      <c r="G4">
        <v>264.5641</v>
      </c>
      <c r="H4">
        <v>252.036</v>
      </c>
      <c r="I4">
        <v>245.70179999999999</v>
      </c>
      <c r="J4">
        <v>239.29050000000001</v>
      </c>
      <c r="K4">
        <v>232.90350000000001</v>
      </c>
      <c r="L4">
        <v>226.42009999999999</v>
      </c>
      <c r="M4">
        <v>210.91929999999999</v>
      </c>
      <c r="N4">
        <v>205.66890000000001</v>
      </c>
      <c r="O4">
        <v>200.73159999999999</v>
      </c>
      <c r="P4">
        <v>195.96010000000001</v>
      </c>
      <c r="Q4">
        <v>190.89519999999999</v>
      </c>
      <c r="R4">
        <v>186.51519999999999</v>
      </c>
      <c r="S4">
        <v>181.9984</v>
      </c>
      <c r="T4">
        <v>177.50880000000001</v>
      </c>
      <c r="U4">
        <v>173.0796</v>
      </c>
      <c r="V4">
        <v>168.71129999999999</v>
      </c>
      <c r="W4">
        <v>164.62049999999999</v>
      </c>
      <c r="X4">
        <v>162.26820000000001</v>
      </c>
      <c r="Y4">
        <v>160.16909999999999</v>
      </c>
      <c r="Z4">
        <v>158.21530000000001</v>
      </c>
      <c r="AA4">
        <v>156.3717</v>
      </c>
      <c r="AB4">
        <v>152.61240000000001</v>
      </c>
      <c r="AC4">
        <v>151.0566</v>
      </c>
      <c r="AD4">
        <v>149.59180000000001</v>
      </c>
      <c r="AE4">
        <v>148.20269999999999</v>
      </c>
      <c r="AF4">
        <v>146.82</v>
      </c>
      <c r="AG4">
        <v>145.6181</v>
      </c>
      <c r="AJ4" s="3" t="str">
        <f ca="1">INDIRECT(ADDRESS(4,1))</f>
        <v>AltFuels</v>
      </c>
      <c r="AK4" s="3">
        <f ca="1">INDIRECT(ADDRESS(4,2))</f>
        <v>287.71839999999997</v>
      </c>
      <c r="AL4" s="3">
        <f ca="1">INDIRECT(ADDRESS(4,8))</f>
        <v>252.036</v>
      </c>
      <c r="AM4" s="4">
        <f ca="1">IFERROR((INDIRECT(ADDRESS(4,8)) - INDIRECT(ADDRESS(4,2)))/ INDIRECT(ADDRESS(4,2)),1)</f>
        <v>-0.1240184847406352</v>
      </c>
      <c r="AN4" s="3">
        <f ca="1">INDIRECT(ADDRESS(4,13))</f>
        <v>210.91929999999999</v>
      </c>
      <c r="AO4" s="4">
        <f ca="1">IFERROR((INDIRECT(ADDRESS(4,13)) - INDIRECT(ADDRESS(4,2)))/ INDIRECT(ADDRESS(4,2)),1)</f>
        <v>-0.26692453454488829</v>
      </c>
      <c r="AP4" s="3">
        <f ca="1">INDIRECT(ADDRESS(4,18))</f>
        <v>186.51519999999999</v>
      </c>
      <c r="AQ4" s="4">
        <f ca="1">IFERROR((INDIRECT(ADDRESS(4,18)) - INDIRECT(ADDRESS(4,2)))/ INDIRECT(ADDRESS(4,2)),1)</f>
        <v>-0.35174392739567573</v>
      </c>
      <c r="AR4" s="3">
        <f ca="1">INDIRECT(ADDRESS(4,23))</f>
        <v>164.62049999999999</v>
      </c>
      <c r="AS4" s="4">
        <f ca="1">IFERROR((INDIRECT(ADDRESS(4,23)) - INDIRECT(ADDRESS(4,2)))/ INDIRECT(ADDRESS(4,2)),1)</f>
        <v>-0.42784159789572024</v>
      </c>
      <c r="AT4" s="3">
        <f ca="1">INDIRECT(ADDRESS(4,28))</f>
        <v>152.61240000000001</v>
      </c>
      <c r="AU4" s="4">
        <f ca="1">IFERROR((INDIRECT(ADDRESS(4,28)) - INDIRECT(ADDRESS(4,2)))/ INDIRECT(ADDRESS(4,2)),1)</f>
        <v>-0.46957719770442202</v>
      </c>
      <c r="AV4" s="3">
        <f ca="1">INDIRECT(ADDRESS(4,33))</f>
        <v>145.6181</v>
      </c>
      <c r="AW4" s="4">
        <f ca="1">IFERROR((INDIRECT(ADDRESS(4,33)) - INDIRECT(ADDRESS(4,2)))/ INDIRECT(ADDRESS(4,2)),1)</f>
        <v>-0.49388673091467211</v>
      </c>
    </row>
    <row r="5" spans="1:49" x14ac:dyDescent="0.25">
      <c r="A5" s="1" t="s">
        <v>3</v>
      </c>
      <c r="B5">
        <v>287.71839999999997</v>
      </c>
      <c r="C5">
        <v>283.0616</v>
      </c>
      <c r="D5">
        <v>279.64920000000001</v>
      </c>
      <c r="E5">
        <v>276.01760000000002</v>
      </c>
      <c r="F5">
        <v>272.6653</v>
      </c>
      <c r="G5">
        <v>268.26069999999999</v>
      </c>
      <c r="H5">
        <v>257.23950000000002</v>
      </c>
      <c r="I5">
        <v>252.4786</v>
      </c>
      <c r="J5">
        <v>247.60990000000001</v>
      </c>
      <c r="K5">
        <v>242.74590000000001</v>
      </c>
      <c r="L5">
        <v>237.9084</v>
      </c>
      <c r="M5">
        <v>224.15170000000001</v>
      </c>
      <c r="N5">
        <v>220.43600000000001</v>
      </c>
      <c r="O5">
        <v>217.1121</v>
      </c>
      <c r="P5">
        <v>214.00299999999999</v>
      </c>
      <c r="Q5">
        <v>210.50399999999999</v>
      </c>
      <c r="R5">
        <v>207.8245</v>
      </c>
      <c r="S5">
        <v>204.946</v>
      </c>
      <c r="T5">
        <v>202.06059999999999</v>
      </c>
      <c r="U5">
        <v>199.22280000000001</v>
      </c>
      <c r="V5">
        <v>196.3537</v>
      </c>
      <c r="W5">
        <v>193.89949999999999</v>
      </c>
      <c r="X5">
        <v>191.352</v>
      </c>
      <c r="Y5">
        <v>188.92089999999999</v>
      </c>
      <c r="Z5">
        <v>186.6224</v>
      </c>
      <c r="AA5">
        <v>184.31649999999999</v>
      </c>
      <c r="AB5">
        <v>180.24959999999999</v>
      </c>
      <c r="AC5">
        <v>178.33449999999999</v>
      </c>
      <c r="AD5">
        <v>176.53319999999999</v>
      </c>
      <c r="AE5">
        <v>174.82810000000001</v>
      </c>
      <c r="AF5">
        <v>173.06020000000001</v>
      </c>
      <c r="AG5">
        <v>171.62729999999999</v>
      </c>
      <c r="AJ5" s="3" t="str">
        <f ca="1">INDIRECT(ADDRESS(5,1))</f>
        <v>BAP</v>
      </c>
      <c r="AK5" s="3">
        <f ca="1">INDIRECT(ADDRESS(5,2))</f>
        <v>287.71839999999997</v>
      </c>
      <c r="AL5" s="3">
        <f ca="1">INDIRECT(ADDRESS(5,8))</f>
        <v>257.23950000000002</v>
      </c>
      <c r="AM5" s="4">
        <f ca="1">IFERROR((INDIRECT(ADDRESS(5,8)) - INDIRECT(ADDRESS(5,2)))/ INDIRECT(ADDRESS(5,2)),1)</f>
        <v>-0.1059330929130704</v>
      </c>
      <c r="AN5" s="3">
        <f ca="1">INDIRECT(ADDRESS(5,13))</f>
        <v>224.15170000000001</v>
      </c>
      <c r="AO5" s="4">
        <f ca="1">IFERROR((INDIRECT(ADDRESS(5,13)) - INDIRECT(ADDRESS(5,2)))/ INDIRECT(ADDRESS(5,2)),1)</f>
        <v>-0.22093373242726214</v>
      </c>
      <c r="AP5" s="3">
        <f ca="1">INDIRECT(ADDRESS(5,18))</f>
        <v>207.8245</v>
      </c>
      <c r="AQ5" s="4">
        <f ca="1">IFERROR((INDIRECT(ADDRESS(5,18)) - INDIRECT(ADDRESS(5,2)))/ INDIRECT(ADDRESS(5,2)),1)</f>
        <v>-0.27768088519886103</v>
      </c>
      <c r="AR5" s="3">
        <f ca="1">INDIRECT(ADDRESS(5,23))</f>
        <v>193.89949999999999</v>
      </c>
      <c r="AS5" s="4">
        <f ca="1">IFERROR((INDIRECT(ADDRESS(5,23)) - INDIRECT(ADDRESS(5,2)))/ INDIRECT(ADDRESS(5,2)),1)</f>
        <v>-0.32607890214876767</v>
      </c>
      <c r="AT5" s="3">
        <f ca="1">INDIRECT(ADDRESS(5,28))</f>
        <v>180.24959999999999</v>
      </c>
      <c r="AU5" s="4">
        <f ca="1">IFERROR((INDIRECT(ADDRESS(5,28)) - INDIRECT(ADDRESS(5,2)))/ INDIRECT(ADDRESS(5,2)),1)</f>
        <v>-0.37352077586973931</v>
      </c>
      <c r="AV5" s="3">
        <f ca="1">INDIRECT(ADDRESS(5,33))</f>
        <v>171.62729999999999</v>
      </c>
      <c r="AW5" s="4">
        <f ca="1">IFERROR((INDIRECT(ADDRESS(5,33)) - INDIRECT(ADDRESS(5,2)))/ INDIRECT(ADDRESS(5,2)),1)</f>
        <v>-0.403488619427885</v>
      </c>
    </row>
    <row r="6" spans="1:49" x14ac:dyDescent="0.25">
      <c r="A6" s="1" t="s">
        <v>4</v>
      </c>
      <c r="B6">
        <v>287.71839999999997</v>
      </c>
      <c r="C6">
        <v>283.60129999999998</v>
      </c>
      <c r="D6">
        <v>280.71120000000002</v>
      </c>
      <c r="E6">
        <v>277.57889999999998</v>
      </c>
      <c r="F6">
        <v>274.7124</v>
      </c>
      <c r="G6">
        <v>271.51589999999999</v>
      </c>
      <c r="H6">
        <v>266.9024</v>
      </c>
      <c r="I6">
        <v>263.22570000000002</v>
      </c>
      <c r="J6">
        <v>259.56970000000001</v>
      </c>
      <c r="K6">
        <v>256.05220000000003</v>
      </c>
      <c r="L6">
        <v>252.8116</v>
      </c>
      <c r="M6">
        <v>250.1317</v>
      </c>
      <c r="N6">
        <v>247.8218</v>
      </c>
      <c r="O6">
        <v>245.8597</v>
      </c>
      <c r="P6">
        <v>244.09219999999999</v>
      </c>
      <c r="Q6">
        <v>242.1671</v>
      </c>
      <c r="R6">
        <v>240.56649999999999</v>
      </c>
      <c r="S6">
        <v>238.94290000000001</v>
      </c>
      <c r="T6">
        <v>237.36920000000001</v>
      </c>
      <c r="U6">
        <v>235.8604</v>
      </c>
      <c r="V6">
        <v>234.43879999999999</v>
      </c>
      <c r="W6">
        <v>233.08949999999999</v>
      </c>
      <c r="X6">
        <v>231.72989999999999</v>
      </c>
      <c r="Y6">
        <v>230.39320000000001</v>
      </c>
      <c r="Z6">
        <v>229.07849999999999</v>
      </c>
      <c r="AA6">
        <v>227.79519999999999</v>
      </c>
      <c r="AB6">
        <v>226.55029999999999</v>
      </c>
      <c r="AC6">
        <v>225.33920000000001</v>
      </c>
      <c r="AD6">
        <v>224.1874</v>
      </c>
      <c r="AE6">
        <v>223.08959999999999</v>
      </c>
      <c r="AF6">
        <v>222.03639999999999</v>
      </c>
      <c r="AG6">
        <v>221.00710000000001</v>
      </c>
      <c r="AJ6" s="3" t="str">
        <f ca="1">INDIRECT(ADDRESS(6,1))</f>
        <v>BAU</v>
      </c>
      <c r="AK6" s="3">
        <f ca="1">INDIRECT(ADDRESS(6,2))</f>
        <v>287.71839999999997</v>
      </c>
      <c r="AL6" s="3">
        <f ca="1">INDIRECT(ADDRESS(6,8))</f>
        <v>266.9024</v>
      </c>
      <c r="AM6" s="4">
        <f ca="1">IFERROR((INDIRECT(ADDRESS(6,8)) - INDIRECT(ADDRESS(6,2)))/ INDIRECT(ADDRESS(6,2)),1)</f>
        <v>-7.2348518551472465E-2</v>
      </c>
      <c r="AN6" s="3">
        <f ca="1">INDIRECT(ADDRESS(6,13))</f>
        <v>250.1317</v>
      </c>
      <c r="AO6" s="4">
        <f ca="1">IFERROR((INDIRECT(ADDRESS(6,13)) - INDIRECT(ADDRESS(6,2)))/ INDIRECT(ADDRESS(6,2)),1)</f>
        <v>-0.13063710906219408</v>
      </c>
      <c r="AP6" s="3">
        <f ca="1">INDIRECT(ADDRESS(6,18))</f>
        <v>240.56649999999999</v>
      </c>
      <c r="AQ6" s="4">
        <f ca="1">IFERROR((INDIRECT(ADDRESS(6,18)) - INDIRECT(ADDRESS(6,2)))/ INDIRECT(ADDRESS(6,2)),1)</f>
        <v>-0.16388211529050623</v>
      </c>
      <c r="AR6" s="3">
        <f ca="1">INDIRECT(ADDRESS(6,23))</f>
        <v>233.08949999999999</v>
      </c>
      <c r="AS6" s="4">
        <f ca="1">IFERROR((INDIRECT(ADDRESS(6,23)) - INDIRECT(ADDRESS(6,2)))/ INDIRECT(ADDRESS(6,2)),1)</f>
        <v>-0.18986933056766614</v>
      </c>
      <c r="AT6" s="3">
        <f ca="1">INDIRECT(ADDRESS(6,28))</f>
        <v>226.55029999999999</v>
      </c>
      <c r="AU6" s="4">
        <f ca="1">IFERROR((INDIRECT(ADDRESS(6,28)) - INDIRECT(ADDRESS(6,2)))/ INDIRECT(ADDRESS(6,2)),1)</f>
        <v>-0.21259710883975438</v>
      </c>
      <c r="AV6" s="3">
        <f ca="1">INDIRECT(ADDRESS(6,33))</f>
        <v>221.00710000000001</v>
      </c>
      <c r="AW6" s="4">
        <f ca="1">IFERROR((INDIRECT(ADDRESS(6,33)) - INDIRECT(ADDRESS(6,2)))/ INDIRECT(ADDRESS(6,2)),1)</f>
        <v>-0.23186316898745429</v>
      </c>
    </row>
    <row r="7" spans="1:49" x14ac:dyDescent="0.25">
      <c r="A7" s="1" t="s">
        <v>5</v>
      </c>
      <c r="B7">
        <v>287.71839999999997</v>
      </c>
      <c r="C7">
        <v>283.09190000000001</v>
      </c>
      <c r="D7">
        <v>278.0188</v>
      </c>
      <c r="E7">
        <v>272.81779999999998</v>
      </c>
      <c r="F7">
        <v>267.58589999999998</v>
      </c>
      <c r="G7">
        <v>261.13290000000001</v>
      </c>
      <c r="H7">
        <v>247.5548</v>
      </c>
      <c r="I7">
        <v>240.26009999999999</v>
      </c>
      <c r="J7">
        <v>232.97749999999999</v>
      </c>
      <c r="K7">
        <v>225.79859999999999</v>
      </c>
      <c r="L7">
        <v>218.5521</v>
      </c>
      <c r="M7">
        <v>202.34469999999999</v>
      </c>
      <c r="N7">
        <v>196.1617</v>
      </c>
      <c r="O7">
        <v>190.3408</v>
      </c>
      <c r="P7">
        <v>184.7192</v>
      </c>
      <c r="Q7">
        <v>178.83279999999999</v>
      </c>
      <c r="R7">
        <v>173.65299999999999</v>
      </c>
      <c r="S7">
        <v>169.12629999999999</v>
      </c>
      <c r="T7">
        <v>164.59479999999999</v>
      </c>
      <c r="U7">
        <v>160.09909999999999</v>
      </c>
      <c r="V7">
        <v>155.6568</v>
      </c>
      <c r="W7">
        <v>151.4683</v>
      </c>
      <c r="X7">
        <v>149.0771</v>
      </c>
      <c r="Y7">
        <v>146.94900000000001</v>
      </c>
      <c r="Z7">
        <v>144.9631</v>
      </c>
      <c r="AA7">
        <v>143.0795</v>
      </c>
      <c r="AB7">
        <v>139.256</v>
      </c>
      <c r="AC7">
        <v>137.6413</v>
      </c>
      <c r="AD7">
        <v>136.1165</v>
      </c>
      <c r="AE7">
        <v>134.667</v>
      </c>
      <c r="AF7">
        <v>133.2313</v>
      </c>
      <c r="AG7">
        <v>131.96549999999999</v>
      </c>
      <c r="AJ7" s="3" t="str">
        <f ca="1">INDIRECT(ADDRESS(7,1))</f>
        <v>Elec</v>
      </c>
      <c r="AK7" s="3">
        <f ca="1">INDIRECT(ADDRESS(7,2))</f>
        <v>287.71839999999997</v>
      </c>
      <c r="AL7" s="3">
        <f ca="1">INDIRECT(ADDRESS(7,8))</f>
        <v>247.5548</v>
      </c>
      <c r="AM7" s="4">
        <f ca="1">IFERROR((INDIRECT(ADDRESS(7,8)) - INDIRECT(ADDRESS(7,2)))/ INDIRECT(ADDRESS(7,2)),1)</f>
        <v>-0.13959343580389708</v>
      </c>
      <c r="AN7" s="3">
        <f ca="1">INDIRECT(ADDRESS(7,13))</f>
        <v>202.34469999999999</v>
      </c>
      <c r="AO7" s="4">
        <f ca="1">IFERROR((INDIRECT(ADDRESS(7,13)) - INDIRECT(ADDRESS(7,2)))/ INDIRECT(ADDRESS(7,2)),1)</f>
        <v>-0.29672659100008897</v>
      </c>
      <c r="AP7" s="3">
        <f ca="1">INDIRECT(ADDRESS(7,18))</f>
        <v>173.65299999999999</v>
      </c>
      <c r="AQ7" s="4">
        <f ca="1">IFERROR((INDIRECT(ADDRESS(7,18)) - INDIRECT(ADDRESS(7,2)))/ INDIRECT(ADDRESS(7,2)),1)</f>
        <v>-0.39644805476465877</v>
      </c>
      <c r="AR7" s="3">
        <f ca="1">INDIRECT(ADDRESS(7,23))</f>
        <v>151.4683</v>
      </c>
      <c r="AS7" s="4">
        <f ca="1">IFERROR((INDIRECT(ADDRESS(7,23)) - INDIRECT(ADDRESS(7,2)))/ INDIRECT(ADDRESS(7,2)),1)</f>
        <v>-0.47355365524067972</v>
      </c>
      <c r="AT7" s="3">
        <f ca="1">INDIRECT(ADDRESS(7,28))</f>
        <v>139.256</v>
      </c>
      <c r="AU7" s="4">
        <f ca="1">IFERROR((INDIRECT(ADDRESS(7,28)) - INDIRECT(ADDRESS(7,2)))/ INDIRECT(ADDRESS(7,2)),1)</f>
        <v>-0.51599897677729334</v>
      </c>
      <c r="AV7" s="3">
        <f ca="1">INDIRECT(ADDRESS(7,33))</f>
        <v>131.96549999999999</v>
      </c>
      <c r="AW7" s="4">
        <f ca="1">IFERROR((INDIRECT(ADDRESS(7,33)) - INDIRECT(ADDRESS(7,2)))/ INDIRECT(ADDRESS(7,2)),1)</f>
        <v>-0.54133798881128214</v>
      </c>
    </row>
    <row r="8" spans="1:49" x14ac:dyDescent="0.25">
      <c r="A8" s="1" t="s">
        <v>6</v>
      </c>
      <c r="B8">
        <v>287.71839999999997</v>
      </c>
      <c r="C8">
        <v>283.1105</v>
      </c>
      <c r="D8">
        <v>278.31349999999998</v>
      </c>
      <c r="E8">
        <v>274.09129999999999</v>
      </c>
      <c r="F8">
        <v>269.7208</v>
      </c>
      <c r="G8">
        <v>264.34350000000001</v>
      </c>
      <c r="H8">
        <v>251.7456</v>
      </c>
      <c r="I8">
        <v>245.3561</v>
      </c>
      <c r="J8">
        <v>238.90219999999999</v>
      </c>
      <c r="K8">
        <v>232.48910000000001</v>
      </c>
      <c r="L8">
        <v>225.92679999999999</v>
      </c>
      <c r="M8">
        <v>210.35659999999999</v>
      </c>
      <c r="N8">
        <v>205.03540000000001</v>
      </c>
      <c r="O8">
        <v>200.01990000000001</v>
      </c>
      <c r="P8">
        <v>195.155</v>
      </c>
      <c r="Q8">
        <v>189.9776</v>
      </c>
      <c r="R8">
        <v>185.49420000000001</v>
      </c>
      <c r="S8">
        <v>180.98089999999999</v>
      </c>
      <c r="T8">
        <v>176.47880000000001</v>
      </c>
      <c r="U8">
        <v>172.0265</v>
      </c>
      <c r="V8">
        <v>167.63570000000001</v>
      </c>
      <c r="W8">
        <v>163.51499999999999</v>
      </c>
      <c r="X8">
        <v>161.2105</v>
      </c>
      <c r="Y8">
        <v>159.17150000000001</v>
      </c>
      <c r="Z8">
        <v>157.27520000000001</v>
      </c>
      <c r="AA8">
        <v>155.47919999999999</v>
      </c>
      <c r="AB8">
        <v>151.7458</v>
      </c>
      <c r="AC8">
        <v>150.21430000000001</v>
      </c>
      <c r="AD8">
        <v>148.76920000000001</v>
      </c>
      <c r="AE8">
        <v>147.3954</v>
      </c>
      <c r="AF8">
        <v>146.029</v>
      </c>
      <c r="AG8">
        <v>144.83279999999999</v>
      </c>
      <c r="AJ8" s="3" t="str">
        <f ca="1">INDIRECT(ADDRESS(8,1))</f>
        <v>Hybrid</v>
      </c>
      <c r="AK8" s="3">
        <f ca="1">INDIRECT(ADDRESS(8,2))</f>
        <v>287.71839999999997</v>
      </c>
      <c r="AL8" s="3">
        <f ca="1">INDIRECT(ADDRESS(8,8))</f>
        <v>251.7456</v>
      </c>
      <c r="AM8" s="4">
        <f ca="1">IFERROR((INDIRECT(ADDRESS(8,8)) - INDIRECT(ADDRESS(8,2)))/ INDIRECT(ADDRESS(8,2)),1)</f>
        <v>-0.12502780496485447</v>
      </c>
      <c r="AN8" s="3">
        <f ca="1">INDIRECT(ADDRESS(8,13))</f>
        <v>210.35659999999999</v>
      </c>
      <c r="AO8" s="4">
        <f ca="1">IFERROR((INDIRECT(ADDRESS(8,13)) - INDIRECT(ADDRESS(8,2)))/ INDIRECT(ADDRESS(8,2)),1)</f>
        <v>-0.26888026626034345</v>
      </c>
      <c r="AP8" s="3">
        <f ca="1">INDIRECT(ADDRESS(8,18))</f>
        <v>185.49420000000001</v>
      </c>
      <c r="AQ8" s="4">
        <f ca="1">IFERROR((INDIRECT(ADDRESS(8,18)) - INDIRECT(ADDRESS(8,2)))/ INDIRECT(ADDRESS(8,2)),1)</f>
        <v>-0.35529253603523436</v>
      </c>
      <c r="AR8" s="3">
        <f ca="1">INDIRECT(ADDRESS(8,23))</f>
        <v>163.51499999999999</v>
      </c>
      <c r="AS8" s="4">
        <f ca="1">IFERROR((INDIRECT(ADDRESS(8,23)) - INDIRECT(ADDRESS(8,2)))/ INDIRECT(ADDRESS(8,2)),1)</f>
        <v>-0.43168389647655486</v>
      </c>
      <c r="AT8" s="3">
        <f ca="1">INDIRECT(ADDRESS(8,28))</f>
        <v>151.7458</v>
      </c>
      <c r="AU8" s="4">
        <f ca="1">IFERROR((INDIRECT(ADDRESS(8,28)) - INDIRECT(ADDRESS(8,2)))/ INDIRECT(ADDRESS(8,2)),1)</f>
        <v>-0.47258917052228838</v>
      </c>
      <c r="AV8" s="3">
        <f ca="1">INDIRECT(ADDRESS(8,33))</f>
        <v>144.83279999999999</v>
      </c>
      <c r="AW8" s="4">
        <f ca="1">IFERROR((INDIRECT(ADDRESS(8,33)) - INDIRECT(ADDRESS(8,2)))/ INDIRECT(ADDRESS(8,2)),1)</f>
        <v>-0.49661613577720437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X23"/>
  <sheetViews>
    <sheetView workbookViewId="0"/>
  </sheetViews>
  <sheetFormatPr defaultRowHeight="15" x14ac:dyDescent="0.25"/>
  <cols>
    <col min="37" max="55" width="20.7109375" customWidth="1"/>
  </cols>
  <sheetData>
    <row r="1" spans="1:50" x14ac:dyDescent="0.25">
      <c r="A1" t="s">
        <v>11</v>
      </c>
      <c r="B1" t="s">
        <v>12</v>
      </c>
    </row>
    <row r="3" spans="1:50" x14ac:dyDescent="0.25">
      <c r="A3" s="1" t="s">
        <v>0</v>
      </c>
      <c r="B3" s="1" t="s">
        <v>1</v>
      </c>
      <c r="C3" s="1">
        <v>2019</v>
      </c>
      <c r="D3" s="1">
        <v>2020</v>
      </c>
      <c r="E3" s="1">
        <v>2021</v>
      </c>
      <c r="F3" s="1">
        <v>2022</v>
      </c>
      <c r="G3" s="1">
        <v>2023</v>
      </c>
      <c r="H3" s="1">
        <v>2024</v>
      </c>
      <c r="I3" s="1">
        <v>2025</v>
      </c>
      <c r="J3" s="1">
        <v>2026</v>
      </c>
      <c r="K3" s="1">
        <v>2027</v>
      </c>
      <c r="L3" s="1">
        <v>2028</v>
      </c>
      <c r="M3" s="1">
        <v>2029</v>
      </c>
      <c r="N3" s="1">
        <v>2030</v>
      </c>
      <c r="O3" s="1">
        <v>2031</v>
      </c>
      <c r="P3" s="1">
        <v>2032</v>
      </c>
      <c r="Q3" s="1">
        <v>2033</v>
      </c>
      <c r="R3" s="1">
        <v>2034</v>
      </c>
      <c r="S3" s="1">
        <v>2035</v>
      </c>
      <c r="T3" s="1">
        <v>2036</v>
      </c>
      <c r="U3" s="1">
        <v>2037</v>
      </c>
      <c r="V3" s="1">
        <v>2038</v>
      </c>
      <c r="W3" s="1">
        <v>2039</v>
      </c>
      <c r="X3" s="1">
        <v>2040</v>
      </c>
      <c r="Y3" s="1">
        <v>2041</v>
      </c>
      <c r="Z3" s="1">
        <v>2042</v>
      </c>
      <c r="AA3" s="1">
        <v>2043</v>
      </c>
      <c r="AB3" s="1">
        <v>2044</v>
      </c>
      <c r="AC3" s="1">
        <v>2045</v>
      </c>
      <c r="AD3" s="1">
        <v>2046</v>
      </c>
      <c r="AE3" s="1">
        <v>2047</v>
      </c>
      <c r="AF3" s="1">
        <v>2048</v>
      </c>
      <c r="AG3" s="1">
        <v>2049</v>
      </c>
      <c r="AH3" s="1">
        <v>2050</v>
      </c>
      <c r="AL3" s="2">
        <f ca="1">INDIRECT(ADDRESS(3,3))</f>
        <v>2019</v>
      </c>
      <c r="AM3" s="2">
        <f ca="1">INDIRECT(ADDRESS(3,9))</f>
        <v>2025</v>
      </c>
      <c r="AN3" s="2" t="str">
        <f ca="1">CONCATENATE("% change ",INDIRECT(ADDRESS(3,3)),"-",INDIRECT(ADDRESS(3,9)))</f>
        <v>% change 2019-2025</v>
      </c>
      <c r="AO3" s="2">
        <f ca="1">INDIRECT(ADDRESS(3,14))</f>
        <v>2030</v>
      </c>
      <c r="AP3" s="2" t="str">
        <f ca="1">CONCATENATE("% change ",INDIRECT(ADDRESS(3,3)),"-",INDIRECT(ADDRESS(3,14)))</f>
        <v>% change 2019-2030</v>
      </c>
      <c r="AQ3" s="2">
        <f ca="1">INDIRECT(ADDRESS(3,19))</f>
        <v>2035</v>
      </c>
      <c r="AR3" s="2" t="str">
        <f ca="1">CONCATENATE("% change ",INDIRECT(ADDRESS(3,3)),"-",INDIRECT(ADDRESS(3,19)))</f>
        <v>% change 2019-2035</v>
      </c>
      <c r="AS3" s="2">
        <f ca="1">INDIRECT(ADDRESS(3,24))</f>
        <v>2040</v>
      </c>
      <c r="AT3" s="2" t="str">
        <f ca="1">CONCATENATE("% change ",INDIRECT(ADDRESS(3,3)),"-",INDIRECT(ADDRESS(3,24)))</f>
        <v>% change 2019-2040</v>
      </c>
      <c r="AU3" s="2">
        <f ca="1">INDIRECT(ADDRESS(3,29))</f>
        <v>2045</v>
      </c>
      <c r="AV3" s="2" t="str">
        <f ca="1">CONCATENATE("% change ",INDIRECT(ADDRESS(3,3)),"-",INDIRECT(ADDRESS(3,29)))</f>
        <v>% change 2019-2045</v>
      </c>
      <c r="AW3" s="2">
        <f ca="1">INDIRECT(ADDRESS(3,34))</f>
        <v>2050</v>
      </c>
      <c r="AX3" s="2" t="str">
        <f ca="1">CONCATENATE("% change ",INDIRECT(ADDRESS(3,3)),"-",INDIRECT(ADDRESS(3,34)))</f>
        <v>% change 2019-2050</v>
      </c>
    </row>
    <row r="4" spans="1:50" x14ac:dyDescent="0.25">
      <c r="A4" s="5" t="s">
        <v>2</v>
      </c>
      <c r="B4" s="1" t="s">
        <v>7</v>
      </c>
      <c r="C4">
        <v>3282973</v>
      </c>
      <c r="D4">
        <v>3310209.75</v>
      </c>
      <c r="E4">
        <v>3383479.75</v>
      </c>
      <c r="F4">
        <v>3456749.75</v>
      </c>
      <c r="G4">
        <v>3530019.75</v>
      </c>
      <c r="H4">
        <v>3603289.75</v>
      </c>
      <c r="I4">
        <v>3676559.75</v>
      </c>
      <c r="J4">
        <v>3708156.25</v>
      </c>
      <c r="K4">
        <v>3739753</v>
      </c>
      <c r="L4">
        <v>3771349.75</v>
      </c>
      <c r="M4">
        <v>3802946.25</v>
      </c>
      <c r="N4">
        <v>3834543</v>
      </c>
      <c r="O4">
        <v>3861806.25</v>
      </c>
      <c r="P4">
        <v>3889069.75</v>
      </c>
      <c r="Q4">
        <v>3916333</v>
      </c>
      <c r="R4">
        <v>3943596.25</v>
      </c>
      <c r="S4">
        <v>3970859.75</v>
      </c>
      <c r="T4">
        <v>4000869.75</v>
      </c>
      <c r="U4">
        <v>4030879.75</v>
      </c>
      <c r="V4">
        <v>4060889.75</v>
      </c>
      <c r="W4">
        <v>4090899.75</v>
      </c>
      <c r="X4">
        <v>4120909.75</v>
      </c>
      <c r="Y4">
        <v>4148609.75</v>
      </c>
      <c r="Z4">
        <v>4176309.75</v>
      </c>
      <c r="AA4">
        <v>4204009.5</v>
      </c>
      <c r="AB4">
        <v>4231709.5</v>
      </c>
      <c r="AC4">
        <v>4259409.5</v>
      </c>
      <c r="AD4">
        <v>4292953</v>
      </c>
      <c r="AE4">
        <v>4326496.5</v>
      </c>
      <c r="AF4">
        <v>4360039.5</v>
      </c>
      <c r="AG4">
        <v>4393583</v>
      </c>
      <c r="AH4">
        <v>4427126.5</v>
      </c>
      <c r="AK4" s="3" t="str">
        <f ca="1">INDIRECT(ADDRESS(4,2))</f>
        <v>Employment</v>
      </c>
      <c r="AL4" s="3">
        <f ca="1">INDIRECT(ADDRESS(4,3))</f>
        <v>3282973</v>
      </c>
      <c r="AM4" s="3">
        <f ca="1">INDIRECT(ADDRESS(4,9))</f>
        <v>3676559.75</v>
      </c>
      <c r="AN4" s="4">
        <f ca="1">IFERROR((INDIRECT(ADDRESS(4,9)) - INDIRECT(ADDRESS(4,3)))/ INDIRECT(ADDRESS(4,3)),1)</f>
        <v>0.11988729422995559</v>
      </c>
      <c r="AO4" s="3">
        <f ca="1">INDIRECT(ADDRESS(4,14))</f>
        <v>3834543</v>
      </c>
      <c r="AP4" s="4">
        <f ca="1">IFERROR((INDIRECT(ADDRESS(4,14)) - INDIRECT(ADDRESS(4,3)))/ INDIRECT(ADDRESS(4,3)),1)</f>
        <v>0.16800930132535358</v>
      </c>
      <c r="AQ4" s="3">
        <f ca="1">INDIRECT(ADDRESS(4,19))</f>
        <v>3970859.75</v>
      </c>
      <c r="AR4" s="4">
        <f ca="1">IFERROR((INDIRECT(ADDRESS(4,19)) - INDIRECT(ADDRESS(4,3)))/ INDIRECT(ADDRESS(4,3)),1)</f>
        <v>0.20953165012322672</v>
      </c>
      <c r="AS4" s="3">
        <f ca="1">INDIRECT(ADDRESS(4,24))</f>
        <v>4120909.75</v>
      </c>
      <c r="AT4" s="4">
        <f ca="1">IFERROR((INDIRECT(ADDRESS(4,24)) - INDIRECT(ADDRESS(4,3)))/ INDIRECT(ADDRESS(4,3)),1)</f>
        <v>0.25523717374465155</v>
      </c>
      <c r="AU4" s="3">
        <f ca="1">INDIRECT(ADDRESS(4,29))</f>
        <v>4259409.5</v>
      </c>
      <c r="AV4" s="4">
        <f ca="1">IFERROR((INDIRECT(ADDRESS(4,29)) - INDIRECT(ADDRESS(4,3)))/ INDIRECT(ADDRESS(4,3)),1)</f>
        <v>0.2974244686142713</v>
      </c>
      <c r="AW4" s="3">
        <f ca="1">INDIRECT(ADDRESS(4,34))</f>
        <v>4427126.5</v>
      </c>
      <c r="AX4" s="4">
        <f ca="1">IFERROR((INDIRECT(ADDRESS(4,34)) - INDIRECT(ADDRESS(4,3)))/ INDIRECT(ADDRESS(4,3)),1)</f>
        <v>0.34851139500690381</v>
      </c>
    </row>
    <row r="5" spans="1:50" x14ac:dyDescent="0.25">
      <c r="A5" s="5"/>
      <c r="B5" s="1" t="s">
        <v>8</v>
      </c>
      <c r="C5">
        <v>2932477</v>
      </c>
      <c r="D5">
        <v>3222195.5</v>
      </c>
      <c r="E5">
        <v>3243919.5</v>
      </c>
      <c r="F5">
        <v>3279247.75</v>
      </c>
      <c r="G5">
        <v>3315595</v>
      </c>
      <c r="H5">
        <v>3352231</v>
      </c>
      <c r="I5">
        <v>3388867.25</v>
      </c>
      <c r="J5">
        <v>3423127.75</v>
      </c>
      <c r="K5">
        <v>3457588.25</v>
      </c>
      <c r="L5">
        <v>3492238.5</v>
      </c>
      <c r="M5">
        <v>3526889</v>
      </c>
      <c r="N5">
        <v>3561539.5</v>
      </c>
      <c r="O5">
        <v>3593892.5</v>
      </c>
      <c r="P5">
        <v>3626245.75</v>
      </c>
      <c r="Q5">
        <v>3658599</v>
      </c>
      <c r="R5">
        <v>3690952</v>
      </c>
      <c r="S5">
        <v>3723305.25</v>
      </c>
      <c r="T5">
        <v>3752038</v>
      </c>
      <c r="U5">
        <v>3780770.75</v>
      </c>
      <c r="V5">
        <v>3809503.5</v>
      </c>
      <c r="W5">
        <v>3838236.25</v>
      </c>
      <c r="X5">
        <v>3866969</v>
      </c>
      <c r="Y5">
        <v>3893262.5</v>
      </c>
      <c r="Z5">
        <v>3919556.25</v>
      </c>
      <c r="AA5">
        <v>3945850</v>
      </c>
      <c r="AB5">
        <v>3972143.5</v>
      </c>
      <c r="AC5">
        <v>3998437.25</v>
      </c>
      <c r="AD5">
        <v>4022973.5</v>
      </c>
      <c r="AE5">
        <v>4047510</v>
      </c>
      <c r="AF5">
        <v>4072046.25</v>
      </c>
      <c r="AG5">
        <v>4096582.75</v>
      </c>
      <c r="AH5">
        <v>4121119</v>
      </c>
      <c r="AK5" s="3" t="str">
        <f ca="1">INDIRECT(ADDRESS(5,2))</f>
        <v>Households</v>
      </c>
      <c r="AL5" s="3">
        <f ca="1">INDIRECT(ADDRESS(5,3))</f>
        <v>2932477</v>
      </c>
      <c r="AM5" s="3">
        <f ca="1">INDIRECT(ADDRESS(5,9))</f>
        <v>3388867.25</v>
      </c>
      <c r="AN5" s="4">
        <f ca="1">IFERROR((INDIRECT(ADDRESS(5,9)) - INDIRECT(ADDRESS(5,3)))/ INDIRECT(ADDRESS(5,3)),1)</f>
        <v>0.15563301945761213</v>
      </c>
      <c r="AO5" s="3">
        <f ca="1">INDIRECT(ADDRESS(5,14))</f>
        <v>3561539.5</v>
      </c>
      <c r="AP5" s="4">
        <f ca="1">IFERROR((INDIRECT(ADDRESS(5,14)) - INDIRECT(ADDRESS(5,3)))/ INDIRECT(ADDRESS(5,3)),1)</f>
        <v>0.21451574897262621</v>
      </c>
      <c r="AQ5" s="3">
        <f ca="1">INDIRECT(ADDRESS(5,19))</f>
        <v>3723305.25</v>
      </c>
      <c r="AR5" s="4">
        <f ca="1">IFERROR((INDIRECT(ADDRESS(5,19)) - INDIRECT(ADDRESS(5,3)))/ INDIRECT(ADDRESS(5,3)),1)</f>
        <v>0.2696792677316821</v>
      </c>
      <c r="AS5" s="3">
        <f ca="1">INDIRECT(ADDRESS(5,24))</f>
        <v>3866969</v>
      </c>
      <c r="AT5" s="4">
        <f ca="1">IFERROR((INDIRECT(ADDRESS(5,24)) - INDIRECT(ADDRESS(5,3)))/ INDIRECT(ADDRESS(5,3)),1)</f>
        <v>0.31866984804995913</v>
      </c>
      <c r="AU5" s="3">
        <f ca="1">INDIRECT(ADDRESS(5,29))</f>
        <v>3998437.25</v>
      </c>
      <c r="AV5" s="4">
        <f ca="1">IFERROR((INDIRECT(ADDRESS(5,29)) - INDIRECT(ADDRESS(5,3)))/ INDIRECT(ADDRESS(5,3)),1)</f>
        <v>0.36350165747250535</v>
      </c>
      <c r="AW5" s="3">
        <f ca="1">INDIRECT(ADDRESS(5,34))</f>
        <v>4121119</v>
      </c>
      <c r="AX5" s="4">
        <f ca="1">IFERROR((INDIRECT(ADDRESS(5,34)) - INDIRECT(ADDRESS(5,3)))/ INDIRECT(ADDRESS(5,3)),1)</f>
        <v>0.40533719446051919</v>
      </c>
    </row>
    <row r="6" spans="1:50" x14ac:dyDescent="0.25">
      <c r="A6" s="5"/>
      <c r="B6" s="1" t="s">
        <v>9</v>
      </c>
      <c r="C6">
        <v>5432139</v>
      </c>
      <c r="D6">
        <v>5972041</v>
      </c>
      <c r="E6">
        <v>6013588.5</v>
      </c>
      <c r="F6">
        <v>6079909</v>
      </c>
      <c r="G6">
        <v>6147767.5</v>
      </c>
      <c r="H6">
        <v>6216280</v>
      </c>
      <c r="I6">
        <v>6285659</v>
      </c>
      <c r="J6">
        <v>6350451</v>
      </c>
      <c r="K6">
        <v>6415931</v>
      </c>
      <c r="L6">
        <v>6481514</v>
      </c>
      <c r="M6">
        <v>6547624.5</v>
      </c>
      <c r="N6">
        <v>6612029</v>
      </c>
      <c r="O6">
        <v>6673524</v>
      </c>
      <c r="P6">
        <v>6734910</v>
      </c>
      <c r="Q6">
        <v>6796506</v>
      </c>
      <c r="R6">
        <v>6857229</v>
      </c>
      <c r="S6">
        <v>6917433</v>
      </c>
      <c r="T6">
        <v>6970431.5</v>
      </c>
      <c r="U6">
        <v>7024334.5</v>
      </c>
      <c r="V6">
        <v>7078359.5</v>
      </c>
      <c r="W6">
        <v>7132783.5</v>
      </c>
      <c r="X6">
        <v>7186541.5</v>
      </c>
      <c r="Y6">
        <v>7236020.5</v>
      </c>
      <c r="Z6">
        <v>7284687.5</v>
      </c>
      <c r="AA6">
        <v>7333063.5</v>
      </c>
      <c r="AB6">
        <v>7381008.5</v>
      </c>
      <c r="AC6">
        <v>7427734.5</v>
      </c>
      <c r="AD6">
        <v>7471124.5</v>
      </c>
      <c r="AE6">
        <v>7515129</v>
      </c>
      <c r="AF6">
        <v>7559409.5</v>
      </c>
      <c r="AG6">
        <v>7603822.5</v>
      </c>
      <c r="AH6">
        <v>7648720.5</v>
      </c>
      <c r="AK6" s="3" t="str">
        <f ca="1">INDIRECT(ADDRESS(6,2))</f>
        <v>Personal Vehicles</v>
      </c>
      <c r="AL6" s="3">
        <f ca="1">INDIRECT(ADDRESS(6,3))</f>
        <v>5432139</v>
      </c>
      <c r="AM6" s="3">
        <f ca="1">INDIRECT(ADDRESS(6,9))</f>
        <v>6285659</v>
      </c>
      <c r="AN6" s="4">
        <f ca="1">IFERROR((INDIRECT(ADDRESS(6,9)) - INDIRECT(ADDRESS(6,3)))/ INDIRECT(ADDRESS(6,3)),1)</f>
        <v>0.15712410893756584</v>
      </c>
      <c r="AO6" s="3">
        <f ca="1">INDIRECT(ADDRESS(6,14))</f>
        <v>6612029</v>
      </c>
      <c r="AP6" s="4">
        <f ca="1">IFERROR((INDIRECT(ADDRESS(6,14)) - INDIRECT(ADDRESS(6,3)))/ INDIRECT(ADDRESS(6,3)),1)</f>
        <v>0.21720541392626366</v>
      </c>
      <c r="AQ6" s="3">
        <f ca="1">INDIRECT(ADDRESS(6,19))</f>
        <v>6917433</v>
      </c>
      <c r="AR6" s="4">
        <f ca="1">IFERROR((INDIRECT(ADDRESS(6,19)) - INDIRECT(ADDRESS(6,3)))/ INDIRECT(ADDRESS(6,3)),1)</f>
        <v>0.27342709750247557</v>
      </c>
      <c r="AS6" s="3">
        <f ca="1">INDIRECT(ADDRESS(6,24))</f>
        <v>7186541.5</v>
      </c>
      <c r="AT6" s="4">
        <f ca="1">IFERROR((INDIRECT(ADDRESS(6,24)) - INDIRECT(ADDRESS(6,3)))/ INDIRECT(ADDRESS(6,3)),1)</f>
        <v>0.32296715897733841</v>
      </c>
      <c r="AU6" s="3">
        <f ca="1">INDIRECT(ADDRESS(6,29))</f>
        <v>7427734.5</v>
      </c>
      <c r="AV6" s="4">
        <f ca="1">IFERROR((INDIRECT(ADDRESS(6,29)) - INDIRECT(ADDRESS(6,3)))/ INDIRECT(ADDRESS(6,3)),1)</f>
        <v>0.36736826874275491</v>
      </c>
      <c r="AW6" s="3">
        <f ca="1">INDIRECT(ADDRESS(6,34))</f>
        <v>7648720.5</v>
      </c>
      <c r="AX6" s="4">
        <f ca="1">IFERROR((INDIRECT(ADDRESS(6,34)) - INDIRECT(ADDRESS(6,3)))/ INDIRECT(ADDRESS(6,3)),1)</f>
        <v>0.40804948106077549</v>
      </c>
    </row>
    <row r="7" spans="1:50" x14ac:dyDescent="0.25">
      <c r="A7" s="5"/>
      <c r="B7" s="1" t="s">
        <v>10</v>
      </c>
      <c r="C7">
        <v>7614893</v>
      </c>
      <c r="D7">
        <v>7703752.5</v>
      </c>
      <c r="E7">
        <v>7792110</v>
      </c>
      <c r="F7">
        <v>7879186.5</v>
      </c>
      <c r="G7">
        <v>7964700.5</v>
      </c>
      <c r="H7">
        <v>8048526</v>
      </c>
      <c r="I7">
        <v>8130742</v>
      </c>
      <c r="J7">
        <v>8210531</v>
      </c>
      <c r="K7">
        <v>8288163.5</v>
      </c>
      <c r="L7">
        <v>8363870.5</v>
      </c>
      <c r="M7">
        <v>8437980</v>
      </c>
      <c r="N7">
        <v>8510832</v>
      </c>
      <c r="O7">
        <v>8581806</v>
      </c>
      <c r="P7">
        <v>8651308</v>
      </c>
      <c r="Q7">
        <v>8719592</v>
      </c>
      <c r="R7">
        <v>8787008</v>
      </c>
      <c r="S7">
        <v>8853918</v>
      </c>
      <c r="T7">
        <v>8919218</v>
      </c>
      <c r="U7">
        <v>8983365</v>
      </c>
      <c r="V7">
        <v>9046667</v>
      </c>
      <c r="W7">
        <v>9109381</v>
      </c>
      <c r="X7">
        <v>9171777</v>
      </c>
      <c r="Y7">
        <v>9233072</v>
      </c>
      <c r="Z7">
        <v>9293559</v>
      </c>
      <c r="AA7">
        <v>9353509</v>
      </c>
      <c r="AB7">
        <v>9413135</v>
      </c>
      <c r="AC7">
        <v>9472623</v>
      </c>
      <c r="AD7">
        <v>9531523</v>
      </c>
      <c r="AE7">
        <v>9590036</v>
      </c>
      <c r="AF7">
        <v>9648400</v>
      </c>
      <c r="AG7">
        <v>9706778</v>
      </c>
      <c r="AH7">
        <v>9765320</v>
      </c>
      <c r="AK7" s="3" t="str">
        <f ca="1">INDIRECT(ADDRESS(7,2))</f>
        <v>Population</v>
      </c>
      <c r="AL7" s="3">
        <f ca="1">INDIRECT(ADDRESS(7,3))</f>
        <v>7614893</v>
      </c>
      <c r="AM7" s="3">
        <f ca="1">INDIRECT(ADDRESS(7,9))</f>
        <v>8130742</v>
      </c>
      <c r="AN7" s="4">
        <f ca="1">IFERROR((INDIRECT(ADDRESS(7,9)) - INDIRECT(ADDRESS(7,3)))/ INDIRECT(ADDRESS(7,3)),1)</f>
        <v>6.774212060497764E-2</v>
      </c>
      <c r="AO7" s="3">
        <f ca="1">INDIRECT(ADDRESS(7,14))</f>
        <v>8510832</v>
      </c>
      <c r="AP7" s="4">
        <f ca="1">IFERROR((INDIRECT(ADDRESS(7,14)) - INDIRECT(ADDRESS(7,3)))/ INDIRECT(ADDRESS(7,3)),1)</f>
        <v>0.11765615091374232</v>
      </c>
      <c r="AQ7" s="3">
        <f ca="1">INDIRECT(ADDRESS(7,19))</f>
        <v>8853918</v>
      </c>
      <c r="AR7" s="4">
        <f ca="1">IFERROR((INDIRECT(ADDRESS(7,19)) - INDIRECT(ADDRESS(7,3)))/ INDIRECT(ADDRESS(7,3)),1)</f>
        <v>0.16271075640852734</v>
      </c>
      <c r="AS7" s="3">
        <f ca="1">INDIRECT(ADDRESS(7,24))</f>
        <v>9171777</v>
      </c>
      <c r="AT7" s="4">
        <f ca="1">IFERROR((INDIRECT(ADDRESS(7,24)) - INDIRECT(ADDRESS(7,3)))/ INDIRECT(ADDRESS(7,3)),1)</f>
        <v>0.20445251167678916</v>
      </c>
      <c r="AU7" s="3">
        <f ca="1">INDIRECT(ADDRESS(7,29))</f>
        <v>9472623</v>
      </c>
      <c r="AV7" s="4">
        <f ca="1">IFERROR((INDIRECT(ADDRESS(7,29)) - INDIRECT(ADDRESS(7,3)))/ INDIRECT(ADDRESS(7,3)),1)</f>
        <v>0.24396009241364258</v>
      </c>
      <c r="AW7" s="3">
        <f ca="1">INDIRECT(ADDRESS(7,34))</f>
        <v>9765320</v>
      </c>
      <c r="AX7" s="4">
        <f ca="1">IFERROR((INDIRECT(ADDRESS(7,34)) - INDIRECT(ADDRESS(7,3)))/ INDIRECT(ADDRESS(7,3)),1)</f>
        <v>0.2823975333599566</v>
      </c>
    </row>
    <row r="8" spans="1:50" x14ac:dyDescent="0.25">
      <c r="A8" s="5" t="s">
        <v>3</v>
      </c>
      <c r="B8" s="1" t="s">
        <v>7</v>
      </c>
      <c r="C8">
        <v>3282973</v>
      </c>
      <c r="D8">
        <v>3310209.75</v>
      </c>
      <c r="E8">
        <v>3383479.75</v>
      </c>
      <c r="F8">
        <v>3456749.75</v>
      </c>
      <c r="G8">
        <v>3530019.75</v>
      </c>
      <c r="H8">
        <v>3603289.75</v>
      </c>
      <c r="I8">
        <v>3676559.75</v>
      </c>
      <c r="J8">
        <v>3708156.25</v>
      </c>
      <c r="K8">
        <v>3739753</v>
      </c>
      <c r="L8">
        <v>3771349.75</v>
      </c>
      <c r="M8">
        <v>3802946.25</v>
      </c>
      <c r="N8">
        <v>3834543</v>
      </c>
      <c r="O8">
        <v>3861806.25</v>
      </c>
      <c r="P8">
        <v>3889069.75</v>
      </c>
      <c r="Q8">
        <v>3916333</v>
      </c>
      <c r="R8">
        <v>3943596.25</v>
      </c>
      <c r="S8">
        <v>3970859.75</v>
      </c>
      <c r="T8">
        <v>4000869.75</v>
      </c>
      <c r="U8">
        <v>4030879.75</v>
      </c>
      <c r="V8">
        <v>4060889.75</v>
      </c>
      <c r="W8">
        <v>4090899.75</v>
      </c>
      <c r="X8">
        <v>4120909.75</v>
      </c>
      <c r="Y8">
        <v>4148609.75</v>
      </c>
      <c r="Z8">
        <v>4176309.75</v>
      </c>
      <c r="AA8">
        <v>4204009.5</v>
      </c>
      <c r="AB8">
        <v>4231709.5</v>
      </c>
      <c r="AC8">
        <v>4259409.5</v>
      </c>
      <c r="AD8">
        <v>4292953</v>
      </c>
      <c r="AE8">
        <v>4326496.5</v>
      </c>
      <c r="AF8">
        <v>4360039.5</v>
      </c>
      <c r="AG8">
        <v>4393583</v>
      </c>
      <c r="AH8">
        <v>4427126.5</v>
      </c>
      <c r="AK8" s="3" t="str">
        <f ca="1">INDIRECT(ADDRESS(8,2))</f>
        <v>Employment</v>
      </c>
      <c r="AL8" s="3">
        <f ca="1">INDIRECT(ADDRESS(8,3))</f>
        <v>3282973</v>
      </c>
      <c r="AM8" s="3">
        <f ca="1">INDIRECT(ADDRESS(8,9))</f>
        <v>3676559.75</v>
      </c>
      <c r="AN8" s="4">
        <f ca="1">IFERROR((INDIRECT(ADDRESS(8,9)) - INDIRECT(ADDRESS(8,3)))/ INDIRECT(ADDRESS(8,3)),1)</f>
        <v>0.11988729422995559</v>
      </c>
      <c r="AO8" s="3">
        <f ca="1">INDIRECT(ADDRESS(8,14))</f>
        <v>3834543</v>
      </c>
      <c r="AP8" s="4">
        <f ca="1">IFERROR((INDIRECT(ADDRESS(8,14)) - INDIRECT(ADDRESS(8,3)))/ INDIRECT(ADDRESS(8,3)),1)</f>
        <v>0.16800930132535358</v>
      </c>
      <c r="AQ8" s="3">
        <f ca="1">INDIRECT(ADDRESS(8,19))</f>
        <v>3970859.75</v>
      </c>
      <c r="AR8" s="4">
        <f ca="1">IFERROR((INDIRECT(ADDRESS(8,19)) - INDIRECT(ADDRESS(8,3)))/ INDIRECT(ADDRESS(8,3)),1)</f>
        <v>0.20953165012322672</v>
      </c>
      <c r="AS8" s="3">
        <f ca="1">INDIRECT(ADDRESS(8,24))</f>
        <v>4120909.75</v>
      </c>
      <c r="AT8" s="4">
        <f ca="1">IFERROR((INDIRECT(ADDRESS(8,24)) - INDIRECT(ADDRESS(8,3)))/ INDIRECT(ADDRESS(8,3)),1)</f>
        <v>0.25523717374465155</v>
      </c>
      <c r="AU8" s="3">
        <f ca="1">INDIRECT(ADDRESS(8,29))</f>
        <v>4259409.5</v>
      </c>
      <c r="AV8" s="4">
        <f ca="1">IFERROR((INDIRECT(ADDRESS(8,29)) - INDIRECT(ADDRESS(8,3)))/ INDIRECT(ADDRESS(8,3)),1)</f>
        <v>0.2974244686142713</v>
      </c>
      <c r="AW8" s="3">
        <f ca="1">INDIRECT(ADDRESS(8,34))</f>
        <v>4427126.5</v>
      </c>
      <c r="AX8" s="4">
        <f ca="1">IFERROR((INDIRECT(ADDRESS(8,34)) - INDIRECT(ADDRESS(8,3)))/ INDIRECT(ADDRESS(8,3)),1)</f>
        <v>0.34851139500690381</v>
      </c>
    </row>
    <row r="9" spans="1:50" x14ac:dyDescent="0.25">
      <c r="A9" s="5"/>
      <c r="B9" s="1" t="s">
        <v>8</v>
      </c>
      <c r="C9">
        <v>2932477</v>
      </c>
      <c r="D9">
        <v>3222195.5</v>
      </c>
      <c r="E9">
        <v>3243919.5</v>
      </c>
      <c r="F9">
        <v>3279247.75</v>
      </c>
      <c r="G9">
        <v>3315595</v>
      </c>
      <c r="H9">
        <v>3352231</v>
      </c>
      <c r="I9">
        <v>3388867.25</v>
      </c>
      <c r="J9">
        <v>3423127.75</v>
      </c>
      <c r="K9">
        <v>3457588.25</v>
      </c>
      <c r="L9">
        <v>3492238.5</v>
      </c>
      <c r="M9">
        <v>3526889</v>
      </c>
      <c r="N9">
        <v>3561539.5</v>
      </c>
      <c r="O9">
        <v>3593892.5</v>
      </c>
      <c r="P9">
        <v>3626245.75</v>
      </c>
      <c r="Q9">
        <v>3658599</v>
      </c>
      <c r="R9">
        <v>3690952</v>
      </c>
      <c r="S9">
        <v>3723305.25</v>
      </c>
      <c r="T9">
        <v>3752038</v>
      </c>
      <c r="U9">
        <v>3780770.75</v>
      </c>
      <c r="V9">
        <v>3809503.5</v>
      </c>
      <c r="W9">
        <v>3838236.25</v>
      </c>
      <c r="X9">
        <v>3866969</v>
      </c>
      <c r="Y9">
        <v>3893262.5</v>
      </c>
      <c r="Z9">
        <v>3919556.25</v>
      </c>
      <c r="AA9">
        <v>3945850</v>
      </c>
      <c r="AB9">
        <v>3972143.5</v>
      </c>
      <c r="AC9">
        <v>3998437.25</v>
      </c>
      <c r="AD9">
        <v>4022973.5</v>
      </c>
      <c r="AE9">
        <v>4047510</v>
      </c>
      <c r="AF9">
        <v>4072046.25</v>
      </c>
      <c r="AG9">
        <v>4096582.75</v>
      </c>
      <c r="AH9">
        <v>4121119</v>
      </c>
      <c r="AK9" s="3" t="str">
        <f ca="1">INDIRECT(ADDRESS(9,2))</f>
        <v>Households</v>
      </c>
      <c r="AL9" s="3">
        <f ca="1">INDIRECT(ADDRESS(9,3))</f>
        <v>2932477</v>
      </c>
      <c r="AM9" s="3">
        <f ca="1">INDIRECT(ADDRESS(9,9))</f>
        <v>3388867.25</v>
      </c>
      <c r="AN9" s="4">
        <f ca="1">IFERROR((INDIRECT(ADDRESS(9,9)) - INDIRECT(ADDRESS(9,3)))/ INDIRECT(ADDRESS(9,3)),1)</f>
        <v>0.15563301945761213</v>
      </c>
      <c r="AO9" s="3">
        <f ca="1">INDIRECT(ADDRESS(9,14))</f>
        <v>3561539.5</v>
      </c>
      <c r="AP9" s="4">
        <f ca="1">IFERROR((INDIRECT(ADDRESS(9,14)) - INDIRECT(ADDRESS(9,3)))/ INDIRECT(ADDRESS(9,3)),1)</f>
        <v>0.21451574897262621</v>
      </c>
      <c r="AQ9" s="3">
        <f ca="1">INDIRECT(ADDRESS(9,19))</f>
        <v>3723305.25</v>
      </c>
      <c r="AR9" s="4">
        <f ca="1">IFERROR((INDIRECT(ADDRESS(9,19)) - INDIRECT(ADDRESS(9,3)))/ INDIRECT(ADDRESS(9,3)),1)</f>
        <v>0.2696792677316821</v>
      </c>
      <c r="AS9" s="3">
        <f ca="1">INDIRECT(ADDRESS(9,24))</f>
        <v>3866969</v>
      </c>
      <c r="AT9" s="4">
        <f ca="1">IFERROR((INDIRECT(ADDRESS(9,24)) - INDIRECT(ADDRESS(9,3)))/ INDIRECT(ADDRESS(9,3)),1)</f>
        <v>0.31866984804995913</v>
      </c>
      <c r="AU9" s="3">
        <f ca="1">INDIRECT(ADDRESS(9,29))</f>
        <v>3998437.25</v>
      </c>
      <c r="AV9" s="4">
        <f ca="1">IFERROR((INDIRECT(ADDRESS(9,29)) - INDIRECT(ADDRESS(9,3)))/ INDIRECT(ADDRESS(9,3)),1)</f>
        <v>0.36350165747250535</v>
      </c>
      <c r="AW9" s="3">
        <f ca="1">INDIRECT(ADDRESS(9,34))</f>
        <v>4121119</v>
      </c>
      <c r="AX9" s="4">
        <f ca="1">IFERROR((INDIRECT(ADDRESS(9,34)) - INDIRECT(ADDRESS(9,3)))/ INDIRECT(ADDRESS(9,3)),1)</f>
        <v>0.40533719446051919</v>
      </c>
    </row>
    <row r="10" spans="1:50" x14ac:dyDescent="0.25">
      <c r="A10" s="5"/>
      <c r="B10" s="1" t="s">
        <v>9</v>
      </c>
      <c r="C10">
        <v>5432139</v>
      </c>
      <c r="D10">
        <v>5972041</v>
      </c>
      <c r="E10">
        <v>6013363</v>
      </c>
      <c r="F10">
        <v>6079367</v>
      </c>
      <c r="G10">
        <v>6147033</v>
      </c>
      <c r="H10">
        <v>6215457.5</v>
      </c>
      <c r="I10">
        <v>6285061.5</v>
      </c>
      <c r="J10">
        <v>6350150</v>
      </c>
      <c r="K10">
        <v>6416012.5</v>
      </c>
      <c r="L10">
        <v>6482062</v>
      </c>
      <c r="M10">
        <v>6548722</v>
      </c>
      <c r="N10">
        <v>6613764</v>
      </c>
      <c r="O10">
        <v>6675958.5</v>
      </c>
      <c r="P10">
        <v>6738125</v>
      </c>
      <c r="Q10">
        <v>6800582.5</v>
      </c>
      <c r="R10">
        <v>6862247</v>
      </c>
      <c r="S10">
        <v>6923474</v>
      </c>
      <c r="T10">
        <v>6977509</v>
      </c>
      <c r="U10">
        <v>7032514.5</v>
      </c>
      <c r="V10">
        <v>7087710</v>
      </c>
      <c r="W10">
        <v>7143374.5</v>
      </c>
      <c r="X10">
        <v>7198431</v>
      </c>
      <c r="Y10">
        <v>7249214</v>
      </c>
      <c r="Z10">
        <v>7299209.5</v>
      </c>
      <c r="AA10">
        <v>7348927</v>
      </c>
      <c r="AB10">
        <v>7398221</v>
      </c>
      <c r="AC10">
        <v>7446328.5</v>
      </c>
      <c r="AD10">
        <v>7491025</v>
      </c>
      <c r="AE10">
        <v>7536321.5</v>
      </c>
      <c r="AF10">
        <v>7581885</v>
      </c>
      <c r="AG10">
        <v>7627576.5</v>
      </c>
      <c r="AH10">
        <v>7673732.5</v>
      </c>
      <c r="AK10" s="3" t="str">
        <f ca="1">INDIRECT(ADDRESS(10,2))</f>
        <v>Personal Vehicles</v>
      </c>
      <c r="AL10" s="3">
        <f ca="1">INDIRECT(ADDRESS(10,3))</f>
        <v>5432139</v>
      </c>
      <c r="AM10" s="3">
        <f ca="1">INDIRECT(ADDRESS(10,9))</f>
        <v>6285061.5</v>
      </c>
      <c r="AN10" s="4">
        <f ca="1">IFERROR((INDIRECT(ADDRESS(10,9)) - INDIRECT(ADDRESS(10,3)))/ INDIRECT(ADDRESS(10,3)),1)</f>
        <v>0.15701411543408592</v>
      </c>
      <c r="AO10" s="3">
        <f ca="1">INDIRECT(ADDRESS(10,14))</f>
        <v>6613764</v>
      </c>
      <c r="AP10" s="4">
        <f ca="1">IFERROR((INDIRECT(ADDRESS(10,14)) - INDIRECT(ADDRESS(10,3)))/ INDIRECT(ADDRESS(10,3)),1)</f>
        <v>0.21752480928783302</v>
      </c>
      <c r="AQ10" s="3">
        <f ca="1">INDIRECT(ADDRESS(10,19))</f>
        <v>6923474</v>
      </c>
      <c r="AR10" s="4">
        <f ca="1">IFERROR((INDIRECT(ADDRESS(10,19)) - INDIRECT(ADDRESS(10,3)))/ INDIRECT(ADDRESS(10,3)),1)</f>
        <v>0.27453918244728276</v>
      </c>
      <c r="AS10" s="3">
        <f ca="1">INDIRECT(ADDRESS(10,24))</f>
        <v>7198431</v>
      </c>
      <c r="AT10" s="4">
        <f ca="1">IFERROR((INDIRECT(ADDRESS(10,24)) - INDIRECT(ADDRESS(10,3)))/ INDIRECT(ADDRESS(10,3)),1)</f>
        <v>0.32515589162942993</v>
      </c>
      <c r="AU10" s="3">
        <f ca="1">INDIRECT(ADDRESS(10,29))</f>
        <v>7446328.5</v>
      </c>
      <c r="AV10" s="4">
        <f ca="1">IFERROR((INDIRECT(ADDRESS(10,29)) - INDIRECT(ADDRESS(10,3)))/ INDIRECT(ADDRESS(10,3)),1)</f>
        <v>0.37079122975314144</v>
      </c>
      <c r="AW10" s="3">
        <f ca="1">INDIRECT(ADDRESS(10,34))</f>
        <v>7673732.5</v>
      </c>
      <c r="AX10" s="4">
        <f ca="1">IFERROR((INDIRECT(ADDRESS(10,34)) - INDIRECT(ADDRESS(10,3)))/ INDIRECT(ADDRESS(10,3)),1)</f>
        <v>0.41265392877465029</v>
      </c>
    </row>
    <row r="11" spans="1:50" x14ac:dyDescent="0.25">
      <c r="A11" s="5"/>
      <c r="B11" s="1" t="s">
        <v>10</v>
      </c>
      <c r="C11">
        <v>7614893</v>
      </c>
      <c r="D11">
        <v>7703752.5</v>
      </c>
      <c r="E11">
        <v>7792110</v>
      </c>
      <c r="F11">
        <v>7879186.5</v>
      </c>
      <c r="G11">
        <v>7964700.5</v>
      </c>
      <c r="H11">
        <v>8048526</v>
      </c>
      <c r="I11">
        <v>8130742</v>
      </c>
      <c r="J11">
        <v>8210531</v>
      </c>
      <c r="K11">
        <v>8288163.5</v>
      </c>
      <c r="L11">
        <v>8363870.5</v>
      </c>
      <c r="M11">
        <v>8437980</v>
      </c>
      <c r="N11">
        <v>8510832</v>
      </c>
      <c r="O11">
        <v>8581806</v>
      </c>
      <c r="P11">
        <v>8651308</v>
      </c>
      <c r="Q11">
        <v>8719592</v>
      </c>
      <c r="R11">
        <v>8787008</v>
      </c>
      <c r="S11">
        <v>8853918</v>
      </c>
      <c r="T11">
        <v>8919218</v>
      </c>
      <c r="U11">
        <v>8983365</v>
      </c>
      <c r="V11">
        <v>9046667</v>
      </c>
      <c r="W11">
        <v>9109381</v>
      </c>
      <c r="X11">
        <v>9171777</v>
      </c>
      <c r="Y11">
        <v>9233072</v>
      </c>
      <c r="Z11">
        <v>9293559</v>
      </c>
      <c r="AA11">
        <v>9353509</v>
      </c>
      <c r="AB11">
        <v>9413135</v>
      </c>
      <c r="AC11">
        <v>9472623</v>
      </c>
      <c r="AD11">
        <v>9531523</v>
      </c>
      <c r="AE11">
        <v>9590036</v>
      </c>
      <c r="AF11">
        <v>9648400</v>
      </c>
      <c r="AG11">
        <v>9706778</v>
      </c>
      <c r="AH11">
        <v>9765320</v>
      </c>
      <c r="AK11" s="3" t="str">
        <f ca="1">INDIRECT(ADDRESS(11,2))</f>
        <v>Population</v>
      </c>
      <c r="AL11" s="3">
        <f ca="1">INDIRECT(ADDRESS(11,3))</f>
        <v>7614893</v>
      </c>
      <c r="AM11" s="3">
        <f ca="1">INDIRECT(ADDRESS(11,9))</f>
        <v>8130742</v>
      </c>
      <c r="AN11" s="4">
        <f ca="1">IFERROR((INDIRECT(ADDRESS(11,9)) - INDIRECT(ADDRESS(11,3)))/ INDIRECT(ADDRESS(11,3)),1)</f>
        <v>6.774212060497764E-2</v>
      </c>
      <c r="AO11" s="3">
        <f ca="1">INDIRECT(ADDRESS(11,14))</f>
        <v>8510832</v>
      </c>
      <c r="AP11" s="4">
        <f ca="1">IFERROR((INDIRECT(ADDRESS(11,14)) - INDIRECT(ADDRESS(11,3)))/ INDIRECT(ADDRESS(11,3)),1)</f>
        <v>0.11765615091374232</v>
      </c>
      <c r="AQ11" s="3">
        <f ca="1">INDIRECT(ADDRESS(11,19))</f>
        <v>8853918</v>
      </c>
      <c r="AR11" s="4">
        <f ca="1">IFERROR((INDIRECT(ADDRESS(11,19)) - INDIRECT(ADDRESS(11,3)))/ INDIRECT(ADDRESS(11,3)),1)</f>
        <v>0.16271075640852734</v>
      </c>
      <c r="AS11" s="3">
        <f ca="1">INDIRECT(ADDRESS(11,24))</f>
        <v>9171777</v>
      </c>
      <c r="AT11" s="4">
        <f ca="1">IFERROR((INDIRECT(ADDRESS(11,24)) - INDIRECT(ADDRESS(11,3)))/ INDIRECT(ADDRESS(11,3)),1)</f>
        <v>0.20445251167678916</v>
      </c>
      <c r="AU11" s="3">
        <f ca="1">INDIRECT(ADDRESS(11,29))</f>
        <v>9472623</v>
      </c>
      <c r="AV11" s="4">
        <f ca="1">IFERROR((INDIRECT(ADDRESS(11,29)) - INDIRECT(ADDRESS(11,3)))/ INDIRECT(ADDRESS(11,3)),1)</f>
        <v>0.24396009241364258</v>
      </c>
      <c r="AW11" s="3">
        <f ca="1">INDIRECT(ADDRESS(11,34))</f>
        <v>9765320</v>
      </c>
      <c r="AX11" s="4">
        <f ca="1">IFERROR((INDIRECT(ADDRESS(11,34)) - INDIRECT(ADDRESS(11,3)))/ INDIRECT(ADDRESS(11,3)),1)</f>
        <v>0.2823975333599566</v>
      </c>
    </row>
    <row r="12" spans="1:50" x14ac:dyDescent="0.25">
      <c r="A12" s="5" t="s">
        <v>4</v>
      </c>
      <c r="B12" s="1" t="s">
        <v>7</v>
      </c>
      <c r="C12">
        <v>3282973</v>
      </c>
      <c r="D12">
        <v>3310209.75</v>
      </c>
      <c r="E12">
        <v>3383479.75</v>
      </c>
      <c r="F12">
        <v>3456749.75</v>
      </c>
      <c r="G12">
        <v>3530019.75</v>
      </c>
      <c r="H12">
        <v>3603289.75</v>
      </c>
      <c r="I12">
        <v>3676559.75</v>
      </c>
      <c r="J12">
        <v>3708156.25</v>
      </c>
      <c r="K12">
        <v>3739753</v>
      </c>
      <c r="L12">
        <v>3771349.75</v>
      </c>
      <c r="M12">
        <v>3802946.25</v>
      </c>
      <c r="N12">
        <v>3834543</v>
      </c>
      <c r="O12">
        <v>3861806.25</v>
      </c>
      <c r="P12">
        <v>3889069.75</v>
      </c>
      <c r="Q12">
        <v>3916333</v>
      </c>
      <c r="R12">
        <v>3943596.25</v>
      </c>
      <c r="S12">
        <v>3970859.75</v>
      </c>
      <c r="T12">
        <v>4000869.75</v>
      </c>
      <c r="U12">
        <v>4030879.75</v>
      </c>
      <c r="V12">
        <v>4060889.75</v>
      </c>
      <c r="W12">
        <v>4090899.75</v>
      </c>
      <c r="X12">
        <v>4120909.75</v>
      </c>
      <c r="Y12">
        <v>4148609.75</v>
      </c>
      <c r="Z12">
        <v>4176309.75</v>
      </c>
      <c r="AA12">
        <v>4204009.5</v>
      </c>
      <c r="AB12">
        <v>4231709.5</v>
      </c>
      <c r="AC12">
        <v>4259409.5</v>
      </c>
      <c r="AD12">
        <v>4292953</v>
      </c>
      <c r="AE12">
        <v>4326496.5</v>
      </c>
      <c r="AF12">
        <v>4360039.5</v>
      </c>
      <c r="AG12">
        <v>4393583</v>
      </c>
      <c r="AH12">
        <v>4427126.5</v>
      </c>
      <c r="AK12" s="3" t="str">
        <f ca="1">INDIRECT(ADDRESS(12,2))</f>
        <v>Employment</v>
      </c>
      <c r="AL12" s="3">
        <f ca="1">INDIRECT(ADDRESS(12,3))</f>
        <v>3282973</v>
      </c>
      <c r="AM12" s="3">
        <f ca="1">INDIRECT(ADDRESS(12,9))</f>
        <v>3676559.75</v>
      </c>
      <c r="AN12" s="4">
        <f ca="1">IFERROR((INDIRECT(ADDRESS(12,9)) - INDIRECT(ADDRESS(12,3)))/ INDIRECT(ADDRESS(12,3)),1)</f>
        <v>0.11988729422995559</v>
      </c>
      <c r="AO12" s="3">
        <f ca="1">INDIRECT(ADDRESS(12,14))</f>
        <v>3834543</v>
      </c>
      <c r="AP12" s="4">
        <f ca="1">IFERROR((INDIRECT(ADDRESS(12,14)) - INDIRECT(ADDRESS(12,3)))/ INDIRECT(ADDRESS(12,3)),1)</f>
        <v>0.16800930132535358</v>
      </c>
      <c r="AQ12" s="3">
        <f ca="1">INDIRECT(ADDRESS(12,19))</f>
        <v>3970859.75</v>
      </c>
      <c r="AR12" s="4">
        <f ca="1">IFERROR((INDIRECT(ADDRESS(12,19)) - INDIRECT(ADDRESS(12,3)))/ INDIRECT(ADDRESS(12,3)),1)</f>
        <v>0.20953165012322672</v>
      </c>
      <c r="AS12" s="3">
        <f ca="1">INDIRECT(ADDRESS(12,24))</f>
        <v>4120909.75</v>
      </c>
      <c r="AT12" s="4">
        <f ca="1">IFERROR((INDIRECT(ADDRESS(12,24)) - INDIRECT(ADDRESS(12,3)))/ INDIRECT(ADDRESS(12,3)),1)</f>
        <v>0.25523717374465155</v>
      </c>
      <c r="AU12" s="3">
        <f ca="1">INDIRECT(ADDRESS(12,29))</f>
        <v>4259409.5</v>
      </c>
      <c r="AV12" s="4">
        <f ca="1">IFERROR((INDIRECT(ADDRESS(12,29)) - INDIRECT(ADDRESS(12,3)))/ INDIRECT(ADDRESS(12,3)),1)</f>
        <v>0.2974244686142713</v>
      </c>
      <c r="AW12" s="3">
        <f ca="1">INDIRECT(ADDRESS(12,34))</f>
        <v>4427126.5</v>
      </c>
      <c r="AX12" s="4">
        <f ca="1">IFERROR((INDIRECT(ADDRESS(12,34)) - INDIRECT(ADDRESS(12,3)))/ INDIRECT(ADDRESS(12,3)),1)</f>
        <v>0.34851139500690381</v>
      </c>
    </row>
    <row r="13" spans="1:50" x14ac:dyDescent="0.25">
      <c r="A13" s="5"/>
      <c r="B13" s="1" t="s">
        <v>8</v>
      </c>
      <c r="C13">
        <v>2932477</v>
      </c>
      <c r="D13">
        <v>3222195.5</v>
      </c>
      <c r="E13">
        <v>3243919.5</v>
      </c>
      <c r="F13">
        <v>3279247.75</v>
      </c>
      <c r="G13">
        <v>3315595</v>
      </c>
      <c r="H13">
        <v>3352231</v>
      </c>
      <c r="I13">
        <v>3388867.25</v>
      </c>
      <c r="J13">
        <v>3423127.75</v>
      </c>
      <c r="K13">
        <v>3457588.25</v>
      </c>
      <c r="L13">
        <v>3492238.5</v>
      </c>
      <c r="M13">
        <v>3526889</v>
      </c>
      <c r="N13">
        <v>3561539.5</v>
      </c>
      <c r="O13">
        <v>3593892.5</v>
      </c>
      <c r="P13">
        <v>3626245.75</v>
      </c>
      <c r="Q13">
        <v>3658599</v>
      </c>
      <c r="R13">
        <v>3690952</v>
      </c>
      <c r="S13">
        <v>3723305.25</v>
      </c>
      <c r="T13">
        <v>3752038</v>
      </c>
      <c r="U13">
        <v>3780770.75</v>
      </c>
      <c r="V13">
        <v>3809503.5</v>
      </c>
      <c r="W13">
        <v>3838236.25</v>
      </c>
      <c r="X13">
        <v>3866969</v>
      </c>
      <c r="Y13">
        <v>3893262.5</v>
      </c>
      <c r="Z13">
        <v>3919556.25</v>
      </c>
      <c r="AA13">
        <v>3945850</v>
      </c>
      <c r="AB13">
        <v>3972143.5</v>
      </c>
      <c r="AC13">
        <v>3998437.25</v>
      </c>
      <c r="AD13">
        <v>4022973.5</v>
      </c>
      <c r="AE13">
        <v>4047510</v>
      </c>
      <c r="AF13">
        <v>4072046.25</v>
      </c>
      <c r="AG13">
        <v>4096582.75</v>
      </c>
      <c r="AH13">
        <v>4121119</v>
      </c>
      <c r="AK13" s="3" t="str">
        <f ca="1">INDIRECT(ADDRESS(13,2))</f>
        <v>Households</v>
      </c>
      <c r="AL13" s="3">
        <f ca="1">INDIRECT(ADDRESS(13,3))</f>
        <v>2932477</v>
      </c>
      <c r="AM13" s="3">
        <f ca="1">INDIRECT(ADDRESS(13,9))</f>
        <v>3388867.25</v>
      </c>
      <c r="AN13" s="4">
        <f ca="1">IFERROR((INDIRECT(ADDRESS(13,9)) - INDIRECT(ADDRESS(13,3)))/ INDIRECT(ADDRESS(13,3)),1)</f>
        <v>0.15563301945761213</v>
      </c>
      <c r="AO13" s="3">
        <f ca="1">INDIRECT(ADDRESS(13,14))</f>
        <v>3561539.5</v>
      </c>
      <c r="AP13" s="4">
        <f ca="1">IFERROR((INDIRECT(ADDRESS(13,14)) - INDIRECT(ADDRESS(13,3)))/ INDIRECT(ADDRESS(13,3)),1)</f>
        <v>0.21451574897262621</v>
      </c>
      <c r="AQ13" s="3">
        <f ca="1">INDIRECT(ADDRESS(13,19))</f>
        <v>3723305.25</v>
      </c>
      <c r="AR13" s="4">
        <f ca="1">IFERROR((INDIRECT(ADDRESS(13,19)) - INDIRECT(ADDRESS(13,3)))/ INDIRECT(ADDRESS(13,3)),1)</f>
        <v>0.2696792677316821</v>
      </c>
      <c r="AS13" s="3">
        <f ca="1">INDIRECT(ADDRESS(13,24))</f>
        <v>3866969</v>
      </c>
      <c r="AT13" s="4">
        <f ca="1">IFERROR((INDIRECT(ADDRESS(13,24)) - INDIRECT(ADDRESS(13,3)))/ INDIRECT(ADDRESS(13,3)),1)</f>
        <v>0.31866984804995913</v>
      </c>
      <c r="AU13" s="3">
        <f ca="1">INDIRECT(ADDRESS(13,29))</f>
        <v>3998437.25</v>
      </c>
      <c r="AV13" s="4">
        <f ca="1">IFERROR((INDIRECT(ADDRESS(13,29)) - INDIRECT(ADDRESS(13,3)))/ INDIRECT(ADDRESS(13,3)),1)</f>
        <v>0.36350165747250535</v>
      </c>
      <c r="AW13" s="3">
        <f ca="1">INDIRECT(ADDRESS(13,34))</f>
        <v>4121119</v>
      </c>
      <c r="AX13" s="4">
        <f ca="1">IFERROR((INDIRECT(ADDRESS(13,34)) - INDIRECT(ADDRESS(13,3)))/ INDIRECT(ADDRESS(13,3)),1)</f>
        <v>0.40533719446051919</v>
      </c>
    </row>
    <row r="14" spans="1:50" x14ac:dyDescent="0.25">
      <c r="A14" s="5"/>
      <c r="B14" s="1" t="s">
        <v>9</v>
      </c>
      <c r="C14">
        <v>5432139</v>
      </c>
      <c r="D14">
        <v>5972041</v>
      </c>
      <c r="E14">
        <v>6013363</v>
      </c>
      <c r="F14">
        <v>6079367</v>
      </c>
      <c r="G14">
        <v>6147033</v>
      </c>
      <c r="H14">
        <v>6215457.5</v>
      </c>
      <c r="I14">
        <v>6285061.5</v>
      </c>
      <c r="J14">
        <v>6350150</v>
      </c>
      <c r="K14">
        <v>6416012.5</v>
      </c>
      <c r="L14">
        <v>6482062</v>
      </c>
      <c r="M14">
        <v>6548722</v>
      </c>
      <c r="N14">
        <v>6613764</v>
      </c>
      <c r="O14">
        <v>6675958.5</v>
      </c>
      <c r="P14">
        <v>6738125</v>
      </c>
      <c r="Q14">
        <v>6800582.5</v>
      </c>
      <c r="R14">
        <v>6862247</v>
      </c>
      <c r="S14">
        <v>6923474</v>
      </c>
      <c r="T14">
        <v>6977509</v>
      </c>
      <c r="U14">
        <v>7032514.5</v>
      </c>
      <c r="V14">
        <v>7087710</v>
      </c>
      <c r="W14">
        <v>7143374.5</v>
      </c>
      <c r="X14">
        <v>7198431</v>
      </c>
      <c r="Y14">
        <v>7249214</v>
      </c>
      <c r="Z14">
        <v>7299209.5</v>
      </c>
      <c r="AA14">
        <v>7348927</v>
      </c>
      <c r="AB14">
        <v>7398221</v>
      </c>
      <c r="AC14">
        <v>7446328.5</v>
      </c>
      <c r="AD14">
        <v>7491025</v>
      </c>
      <c r="AE14">
        <v>7536321.5</v>
      </c>
      <c r="AF14">
        <v>7581885</v>
      </c>
      <c r="AG14">
        <v>7627576.5</v>
      </c>
      <c r="AH14">
        <v>7673732.5</v>
      </c>
      <c r="AK14" s="3" t="str">
        <f ca="1">INDIRECT(ADDRESS(14,2))</f>
        <v>Personal Vehicles</v>
      </c>
      <c r="AL14" s="3">
        <f ca="1">INDIRECT(ADDRESS(14,3))</f>
        <v>5432139</v>
      </c>
      <c r="AM14" s="3">
        <f ca="1">INDIRECT(ADDRESS(14,9))</f>
        <v>6285061.5</v>
      </c>
      <c r="AN14" s="4">
        <f ca="1">IFERROR((INDIRECT(ADDRESS(14,9)) - INDIRECT(ADDRESS(14,3)))/ INDIRECT(ADDRESS(14,3)),1)</f>
        <v>0.15701411543408592</v>
      </c>
      <c r="AO14" s="3">
        <f ca="1">INDIRECT(ADDRESS(14,14))</f>
        <v>6613764</v>
      </c>
      <c r="AP14" s="4">
        <f ca="1">IFERROR((INDIRECT(ADDRESS(14,14)) - INDIRECT(ADDRESS(14,3)))/ INDIRECT(ADDRESS(14,3)),1)</f>
        <v>0.21752480928783302</v>
      </c>
      <c r="AQ14" s="3">
        <f ca="1">INDIRECT(ADDRESS(14,19))</f>
        <v>6923474</v>
      </c>
      <c r="AR14" s="4">
        <f ca="1">IFERROR((INDIRECT(ADDRESS(14,19)) - INDIRECT(ADDRESS(14,3)))/ INDIRECT(ADDRESS(14,3)),1)</f>
        <v>0.27453918244728276</v>
      </c>
      <c r="AS14" s="3">
        <f ca="1">INDIRECT(ADDRESS(14,24))</f>
        <v>7198431</v>
      </c>
      <c r="AT14" s="4">
        <f ca="1">IFERROR((INDIRECT(ADDRESS(14,24)) - INDIRECT(ADDRESS(14,3)))/ INDIRECT(ADDRESS(14,3)),1)</f>
        <v>0.32515589162942993</v>
      </c>
      <c r="AU14" s="3">
        <f ca="1">INDIRECT(ADDRESS(14,29))</f>
        <v>7446328.5</v>
      </c>
      <c r="AV14" s="4">
        <f ca="1">IFERROR((INDIRECT(ADDRESS(14,29)) - INDIRECT(ADDRESS(14,3)))/ INDIRECT(ADDRESS(14,3)),1)</f>
        <v>0.37079122975314144</v>
      </c>
      <c r="AW14" s="3">
        <f ca="1">INDIRECT(ADDRESS(14,34))</f>
        <v>7673732.5</v>
      </c>
      <c r="AX14" s="4">
        <f ca="1">IFERROR((INDIRECT(ADDRESS(14,34)) - INDIRECT(ADDRESS(14,3)))/ INDIRECT(ADDRESS(14,3)),1)</f>
        <v>0.41265392877465029</v>
      </c>
    </row>
    <row r="15" spans="1:50" x14ac:dyDescent="0.25">
      <c r="A15" s="5"/>
      <c r="B15" s="1" t="s">
        <v>10</v>
      </c>
      <c r="C15">
        <v>7614893</v>
      </c>
      <c r="D15">
        <v>7703752.5</v>
      </c>
      <c r="E15">
        <v>7792110</v>
      </c>
      <c r="F15">
        <v>7879186.5</v>
      </c>
      <c r="G15">
        <v>7964700.5</v>
      </c>
      <c r="H15">
        <v>8048526</v>
      </c>
      <c r="I15">
        <v>8130742</v>
      </c>
      <c r="J15">
        <v>8210531</v>
      </c>
      <c r="K15">
        <v>8288163.5</v>
      </c>
      <c r="L15">
        <v>8363870.5</v>
      </c>
      <c r="M15">
        <v>8437980</v>
      </c>
      <c r="N15">
        <v>8510832</v>
      </c>
      <c r="O15">
        <v>8581806</v>
      </c>
      <c r="P15">
        <v>8651308</v>
      </c>
      <c r="Q15">
        <v>8719592</v>
      </c>
      <c r="R15">
        <v>8787008</v>
      </c>
      <c r="S15">
        <v>8853918</v>
      </c>
      <c r="T15">
        <v>8919218</v>
      </c>
      <c r="U15">
        <v>8983365</v>
      </c>
      <c r="V15">
        <v>9046667</v>
      </c>
      <c r="W15">
        <v>9109381</v>
      </c>
      <c r="X15">
        <v>9171777</v>
      </c>
      <c r="Y15">
        <v>9233072</v>
      </c>
      <c r="Z15">
        <v>9293559</v>
      </c>
      <c r="AA15">
        <v>9353509</v>
      </c>
      <c r="AB15">
        <v>9413135</v>
      </c>
      <c r="AC15">
        <v>9472623</v>
      </c>
      <c r="AD15">
        <v>9531523</v>
      </c>
      <c r="AE15">
        <v>9590036</v>
      </c>
      <c r="AF15">
        <v>9648400</v>
      </c>
      <c r="AG15">
        <v>9706778</v>
      </c>
      <c r="AH15">
        <v>9765320</v>
      </c>
      <c r="AK15" s="3" t="str">
        <f ca="1">INDIRECT(ADDRESS(15,2))</f>
        <v>Population</v>
      </c>
      <c r="AL15" s="3">
        <f ca="1">INDIRECT(ADDRESS(15,3))</f>
        <v>7614893</v>
      </c>
      <c r="AM15" s="3">
        <f ca="1">INDIRECT(ADDRESS(15,9))</f>
        <v>8130742</v>
      </c>
      <c r="AN15" s="4">
        <f ca="1">IFERROR((INDIRECT(ADDRESS(15,9)) - INDIRECT(ADDRESS(15,3)))/ INDIRECT(ADDRESS(15,3)),1)</f>
        <v>6.774212060497764E-2</v>
      </c>
      <c r="AO15" s="3">
        <f ca="1">INDIRECT(ADDRESS(15,14))</f>
        <v>8510832</v>
      </c>
      <c r="AP15" s="4">
        <f ca="1">IFERROR((INDIRECT(ADDRESS(15,14)) - INDIRECT(ADDRESS(15,3)))/ INDIRECT(ADDRESS(15,3)),1)</f>
        <v>0.11765615091374232</v>
      </c>
      <c r="AQ15" s="3">
        <f ca="1">INDIRECT(ADDRESS(15,19))</f>
        <v>8853918</v>
      </c>
      <c r="AR15" s="4">
        <f ca="1">IFERROR((INDIRECT(ADDRESS(15,19)) - INDIRECT(ADDRESS(15,3)))/ INDIRECT(ADDRESS(15,3)),1)</f>
        <v>0.16271075640852734</v>
      </c>
      <c r="AS15" s="3">
        <f ca="1">INDIRECT(ADDRESS(15,24))</f>
        <v>9171777</v>
      </c>
      <c r="AT15" s="4">
        <f ca="1">IFERROR((INDIRECT(ADDRESS(15,24)) - INDIRECT(ADDRESS(15,3)))/ INDIRECT(ADDRESS(15,3)),1)</f>
        <v>0.20445251167678916</v>
      </c>
      <c r="AU15" s="3">
        <f ca="1">INDIRECT(ADDRESS(15,29))</f>
        <v>9472623</v>
      </c>
      <c r="AV15" s="4">
        <f ca="1">IFERROR((INDIRECT(ADDRESS(15,29)) - INDIRECT(ADDRESS(15,3)))/ INDIRECT(ADDRESS(15,3)),1)</f>
        <v>0.24396009241364258</v>
      </c>
      <c r="AW15" s="3">
        <f ca="1">INDIRECT(ADDRESS(15,34))</f>
        <v>9765320</v>
      </c>
      <c r="AX15" s="4">
        <f ca="1">IFERROR((INDIRECT(ADDRESS(15,34)) - INDIRECT(ADDRESS(15,3)))/ INDIRECT(ADDRESS(15,3)),1)</f>
        <v>0.2823975333599566</v>
      </c>
    </row>
    <row r="16" spans="1:50" x14ac:dyDescent="0.25">
      <c r="A16" s="5" t="s">
        <v>5</v>
      </c>
      <c r="B16" s="1" t="s">
        <v>7</v>
      </c>
      <c r="C16">
        <v>3282973</v>
      </c>
      <c r="D16">
        <v>3310209.75</v>
      </c>
      <c r="E16">
        <v>3383479.75</v>
      </c>
      <c r="F16">
        <v>3456749.75</v>
      </c>
      <c r="G16">
        <v>3530019.75</v>
      </c>
      <c r="H16">
        <v>3603289.75</v>
      </c>
      <c r="I16">
        <v>3676559.75</v>
      </c>
      <c r="J16">
        <v>3708156.25</v>
      </c>
      <c r="K16">
        <v>3739753</v>
      </c>
      <c r="L16">
        <v>3771349.75</v>
      </c>
      <c r="M16">
        <v>3802946.25</v>
      </c>
      <c r="N16">
        <v>3834543</v>
      </c>
      <c r="O16">
        <v>3861806.25</v>
      </c>
      <c r="P16">
        <v>3889069.75</v>
      </c>
      <c r="Q16">
        <v>3916333</v>
      </c>
      <c r="R16">
        <v>3943596.25</v>
      </c>
      <c r="S16">
        <v>3970859.75</v>
      </c>
      <c r="T16">
        <v>4000869.75</v>
      </c>
      <c r="U16">
        <v>4030879.75</v>
      </c>
      <c r="V16">
        <v>4060889.75</v>
      </c>
      <c r="W16">
        <v>4090899.75</v>
      </c>
      <c r="X16">
        <v>4120909.75</v>
      </c>
      <c r="Y16">
        <v>4148609.75</v>
      </c>
      <c r="Z16">
        <v>4176309.75</v>
      </c>
      <c r="AA16">
        <v>4204009.5</v>
      </c>
      <c r="AB16">
        <v>4231709.5</v>
      </c>
      <c r="AC16">
        <v>4259409.5</v>
      </c>
      <c r="AD16">
        <v>4292953</v>
      </c>
      <c r="AE16">
        <v>4326496.5</v>
      </c>
      <c r="AF16">
        <v>4360039.5</v>
      </c>
      <c r="AG16">
        <v>4393583</v>
      </c>
      <c r="AH16">
        <v>4427126.5</v>
      </c>
      <c r="AK16" s="3" t="str">
        <f ca="1">INDIRECT(ADDRESS(16,2))</f>
        <v>Employment</v>
      </c>
      <c r="AL16" s="3">
        <f ca="1">INDIRECT(ADDRESS(16,3))</f>
        <v>3282973</v>
      </c>
      <c r="AM16" s="3">
        <f ca="1">INDIRECT(ADDRESS(16,9))</f>
        <v>3676559.75</v>
      </c>
      <c r="AN16" s="4">
        <f ca="1">IFERROR((INDIRECT(ADDRESS(16,9)) - INDIRECT(ADDRESS(16,3)))/ INDIRECT(ADDRESS(16,3)),1)</f>
        <v>0.11988729422995559</v>
      </c>
      <c r="AO16" s="3">
        <f ca="1">INDIRECT(ADDRESS(16,14))</f>
        <v>3834543</v>
      </c>
      <c r="AP16" s="4">
        <f ca="1">IFERROR((INDIRECT(ADDRESS(16,14)) - INDIRECT(ADDRESS(16,3)))/ INDIRECT(ADDRESS(16,3)),1)</f>
        <v>0.16800930132535358</v>
      </c>
      <c r="AQ16" s="3">
        <f ca="1">INDIRECT(ADDRESS(16,19))</f>
        <v>3970859.75</v>
      </c>
      <c r="AR16" s="4">
        <f ca="1">IFERROR((INDIRECT(ADDRESS(16,19)) - INDIRECT(ADDRESS(16,3)))/ INDIRECT(ADDRESS(16,3)),1)</f>
        <v>0.20953165012322672</v>
      </c>
      <c r="AS16" s="3">
        <f ca="1">INDIRECT(ADDRESS(16,24))</f>
        <v>4120909.75</v>
      </c>
      <c r="AT16" s="4">
        <f ca="1">IFERROR((INDIRECT(ADDRESS(16,24)) - INDIRECT(ADDRESS(16,3)))/ INDIRECT(ADDRESS(16,3)),1)</f>
        <v>0.25523717374465155</v>
      </c>
      <c r="AU16" s="3">
        <f ca="1">INDIRECT(ADDRESS(16,29))</f>
        <v>4259409.5</v>
      </c>
      <c r="AV16" s="4">
        <f ca="1">IFERROR((INDIRECT(ADDRESS(16,29)) - INDIRECT(ADDRESS(16,3)))/ INDIRECT(ADDRESS(16,3)),1)</f>
        <v>0.2974244686142713</v>
      </c>
      <c r="AW16" s="3">
        <f ca="1">INDIRECT(ADDRESS(16,34))</f>
        <v>4427126.5</v>
      </c>
      <c r="AX16" s="4">
        <f ca="1">IFERROR((INDIRECT(ADDRESS(16,34)) - INDIRECT(ADDRESS(16,3)))/ INDIRECT(ADDRESS(16,3)),1)</f>
        <v>0.34851139500690381</v>
      </c>
    </row>
    <row r="17" spans="1:50" x14ac:dyDescent="0.25">
      <c r="A17" s="5"/>
      <c r="B17" s="1" t="s">
        <v>8</v>
      </c>
      <c r="C17">
        <v>2932477</v>
      </c>
      <c r="D17">
        <v>3222195.5</v>
      </c>
      <c r="E17">
        <v>3243919.5</v>
      </c>
      <c r="F17">
        <v>3279247.75</v>
      </c>
      <c r="G17">
        <v>3315595</v>
      </c>
      <c r="H17">
        <v>3352231</v>
      </c>
      <c r="I17">
        <v>3388867.25</v>
      </c>
      <c r="J17">
        <v>3423127.75</v>
      </c>
      <c r="K17">
        <v>3457588.25</v>
      </c>
      <c r="L17">
        <v>3492238.5</v>
      </c>
      <c r="M17">
        <v>3526889</v>
      </c>
      <c r="N17">
        <v>3561539.5</v>
      </c>
      <c r="O17">
        <v>3593892.5</v>
      </c>
      <c r="P17">
        <v>3626245.75</v>
      </c>
      <c r="Q17">
        <v>3658599</v>
      </c>
      <c r="R17">
        <v>3690952</v>
      </c>
      <c r="S17">
        <v>3723305.25</v>
      </c>
      <c r="T17">
        <v>3752038</v>
      </c>
      <c r="U17">
        <v>3780770.75</v>
      </c>
      <c r="V17">
        <v>3809503.5</v>
      </c>
      <c r="W17">
        <v>3838236.25</v>
      </c>
      <c r="X17">
        <v>3866969</v>
      </c>
      <c r="Y17">
        <v>3893262.5</v>
      </c>
      <c r="Z17">
        <v>3919556.25</v>
      </c>
      <c r="AA17">
        <v>3945850</v>
      </c>
      <c r="AB17">
        <v>3972143.5</v>
      </c>
      <c r="AC17">
        <v>3998437.25</v>
      </c>
      <c r="AD17">
        <v>4022973.5</v>
      </c>
      <c r="AE17">
        <v>4047510</v>
      </c>
      <c r="AF17">
        <v>4072046.25</v>
      </c>
      <c r="AG17">
        <v>4096582.75</v>
      </c>
      <c r="AH17">
        <v>4121119</v>
      </c>
      <c r="AK17" s="3" t="str">
        <f ca="1">INDIRECT(ADDRESS(17,2))</f>
        <v>Households</v>
      </c>
      <c r="AL17" s="3">
        <f ca="1">INDIRECT(ADDRESS(17,3))</f>
        <v>2932477</v>
      </c>
      <c r="AM17" s="3">
        <f ca="1">INDIRECT(ADDRESS(17,9))</f>
        <v>3388867.25</v>
      </c>
      <c r="AN17" s="4">
        <f ca="1">IFERROR((INDIRECT(ADDRESS(17,9)) - INDIRECT(ADDRESS(17,3)))/ INDIRECT(ADDRESS(17,3)),1)</f>
        <v>0.15563301945761213</v>
      </c>
      <c r="AO17" s="3">
        <f ca="1">INDIRECT(ADDRESS(17,14))</f>
        <v>3561539.5</v>
      </c>
      <c r="AP17" s="4">
        <f ca="1">IFERROR((INDIRECT(ADDRESS(17,14)) - INDIRECT(ADDRESS(17,3)))/ INDIRECT(ADDRESS(17,3)),1)</f>
        <v>0.21451574897262621</v>
      </c>
      <c r="AQ17" s="3">
        <f ca="1">INDIRECT(ADDRESS(17,19))</f>
        <v>3723305.25</v>
      </c>
      <c r="AR17" s="4">
        <f ca="1">IFERROR((INDIRECT(ADDRESS(17,19)) - INDIRECT(ADDRESS(17,3)))/ INDIRECT(ADDRESS(17,3)),1)</f>
        <v>0.2696792677316821</v>
      </c>
      <c r="AS17" s="3">
        <f ca="1">INDIRECT(ADDRESS(17,24))</f>
        <v>3866969</v>
      </c>
      <c r="AT17" s="4">
        <f ca="1">IFERROR((INDIRECT(ADDRESS(17,24)) - INDIRECT(ADDRESS(17,3)))/ INDIRECT(ADDRESS(17,3)),1)</f>
        <v>0.31866984804995913</v>
      </c>
      <c r="AU17" s="3">
        <f ca="1">INDIRECT(ADDRESS(17,29))</f>
        <v>3998437.25</v>
      </c>
      <c r="AV17" s="4">
        <f ca="1">IFERROR((INDIRECT(ADDRESS(17,29)) - INDIRECT(ADDRESS(17,3)))/ INDIRECT(ADDRESS(17,3)),1)</f>
        <v>0.36350165747250535</v>
      </c>
      <c r="AW17" s="3">
        <f ca="1">INDIRECT(ADDRESS(17,34))</f>
        <v>4121119</v>
      </c>
      <c r="AX17" s="4">
        <f ca="1">IFERROR((INDIRECT(ADDRESS(17,34)) - INDIRECT(ADDRESS(17,3)))/ INDIRECT(ADDRESS(17,3)),1)</f>
        <v>0.40533719446051919</v>
      </c>
    </row>
    <row r="18" spans="1:50" x14ac:dyDescent="0.25">
      <c r="A18" s="5"/>
      <c r="B18" s="1" t="s">
        <v>9</v>
      </c>
      <c r="C18">
        <v>5432139</v>
      </c>
      <c r="D18">
        <v>5972041</v>
      </c>
      <c r="E18">
        <v>6013588.5</v>
      </c>
      <c r="F18">
        <v>6079909</v>
      </c>
      <c r="G18">
        <v>6147767.5</v>
      </c>
      <c r="H18">
        <v>6216280</v>
      </c>
      <c r="I18">
        <v>6285659</v>
      </c>
      <c r="J18">
        <v>6350451</v>
      </c>
      <c r="K18">
        <v>6415931</v>
      </c>
      <c r="L18">
        <v>6481514</v>
      </c>
      <c r="M18">
        <v>6547624.5</v>
      </c>
      <c r="N18">
        <v>6612029</v>
      </c>
      <c r="O18">
        <v>6673524</v>
      </c>
      <c r="P18">
        <v>6734910</v>
      </c>
      <c r="Q18">
        <v>6796506</v>
      </c>
      <c r="R18">
        <v>6857229</v>
      </c>
      <c r="S18">
        <v>6917433</v>
      </c>
      <c r="T18">
        <v>6970431.5</v>
      </c>
      <c r="U18">
        <v>7024334.5</v>
      </c>
      <c r="V18">
        <v>7078359.5</v>
      </c>
      <c r="W18">
        <v>7132783.5</v>
      </c>
      <c r="X18">
        <v>7186541.5</v>
      </c>
      <c r="Y18">
        <v>7236020.5</v>
      </c>
      <c r="Z18">
        <v>7284687.5</v>
      </c>
      <c r="AA18">
        <v>7333063.5</v>
      </c>
      <c r="AB18">
        <v>7381008.5</v>
      </c>
      <c r="AC18">
        <v>7427734.5</v>
      </c>
      <c r="AD18">
        <v>7471124.5</v>
      </c>
      <c r="AE18">
        <v>7515129</v>
      </c>
      <c r="AF18">
        <v>7559409.5</v>
      </c>
      <c r="AG18">
        <v>7603822.5</v>
      </c>
      <c r="AH18">
        <v>7648720.5</v>
      </c>
      <c r="AK18" s="3" t="str">
        <f ca="1">INDIRECT(ADDRESS(18,2))</f>
        <v>Personal Vehicles</v>
      </c>
      <c r="AL18" s="3">
        <f ca="1">INDIRECT(ADDRESS(18,3))</f>
        <v>5432139</v>
      </c>
      <c r="AM18" s="3">
        <f ca="1">INDIRECT(ADDRESS(18,9))</f>
        <v>6285659</v>
      </c>
      <c r="AN18" s="4">
        <f ca="1">IFERROR((INDIRECT(ADDRESS(18,9)) - INDIRECT(ADDRESS(18,3)))/ INDIRECT(ADDRESS(18,3)),1)</f>
        <v>0.15712410893756584</v>
      </c>
      <c r="AO18" s="3">
        <f ca="1">INDIRECT(ADDRESS(18,14))</f>
        <v>6612029</v>
      </c>
      <c r="AP18" s="4">
        <f ca="1">IFERROR((INDIRECT(ADDRESS(18,14)) - INDIRECT(ADDRESS(18,3)))/ INDIRECT(ADDRESS(18,3)),1)</f>
        <v>0.21720541392626366</v>
      </c>
      <c r="AQ18" s="3">
        <f ca="1">INDIRECT(ADDRESS(18,19))</f>
        <v>6917433</v>
      </c>
      <c r="AR18" s="4">
        <f ca="1">IFERROR((INDIRECT(ADDRESS(18,19)) - INDIRECT(ADDRESS(18,3)))/ INDIRECT(ADDRESS(18,3)),1)</f>
        <v>0.27342709750247557</v>
      </c>
      <c r="AS18" s="3">
        <f ca="1">INDIRECT(ADDRESS(18,24))</f>
        <v>7186541.5</v>
      </c>
      <c r="AT18" s="4">
        <f ca="1">IFERROR((INDIRECT(ADDRESS(18,24)) - INDIRECT(ADDRESS(18,3)))/ INDIRECT(ADDRESS(18,3)),1)</f>
        <v>0.32296715897733841</v>
      </c>
      <c r="AU18" s="3">
        <f ca="1">INDIRECT(ADDRESS(18,29))</f>
        <v>7427734.5</v>
      </c>
      <c r="AV18" s="4">
        <f ca="1">IFERROR((INDIRECT(ADDRESS(18,29)) - INDIRECT(ADDRESS(18,3)))/ INDIRECT(ADDRESS(18,3)),1)</f>
        <v>0.36736826874275491</v>
      </c>
      <c r="AW18" s="3">
        <f ca="1">INDIRECT(ADDRESS(18,34))</f>
        <v>7648720.5</v>
      </c>
      <c r="AX18" s="4">
        <f ca="1">IFERROR((INDIRECT(ADDRESS(18,34)) - INDIRECT(ADDRESS(18,3)))/ INDIRECT(ADDRESS(18,3)),1)</f>
        <v>0.40804948106077549</v>
      </c>
    </row>
    <row r="19" spans="1:50" x14ac:dyDescent="0.25">
      <c r="A19" s="5"/>
      <c r="B19" s="1" t="s">
        <v>10</v>
      </c>
      <c r="C19">
        <v>7614893</v>
      </c>
      <c r="D19">
        <v>7703752.5</v>
      </c>
      <c r="E19">
        <v>7792110</v>
      </c>
      <c r="F19">
        <v>7879186.5</v>
      </c>
      <c r="G19">
        <v>7964700.5</v>
      </c>
      <c r="H19">
        <v>8048526</v>
      </c>
      <c r="I19">
        <v>8130742</v>
      </c>
      <c r="J19">
        <v>8210531</v>
      </c>
      <c r="K19">
        <v>8288163.5</v>
      </c>
      <c r="L19">
        <v>8363870.5</v>
      </c>
      <c r="M19">
        <v>8437980</v>
      </c>
      <c r="N19">
        <v>8510832</v>
      </c>
      <c r="O19">
        <v>8581806</v>
      </c>
      <c r="P19">
        <v>8651308</v>
      </c>
      <c r="Q19">
        <v>8719592</v>
      </c>
      <c r="R19">
        <v>8787008</v>
      </c>
      <c r="S19">
        <v>8853918</v>
      </c>
      <c r="T19">
        <v>8919218</v>
      </c>
      <c r="U19">
        <v>8983365</v>
      </c>
      <c r="V19">
        <v>9046667</v>
      </c>
      <c r="W19">
        <v>9109381</v>
      </c>
      <c r="X19">
        <v>9171777</v>
      </c>
      <c r="Y19">
        <v>9233072</v>
      </c>
      <c r="Z19">
        <v>9293559</v>
      </c>
      <c r="AA19">
        <v>9353509</v>
      </c>
      <c r="AB19">
        <v>9413135</v>
      </c>
      <c r="AC19">
        <v>9472623</v>
      </c>
      <c r="AD19">
        <v>9531523</v>
      </c>
      <c r="AE19">
        <v>9590036</v>
      </c>
      <c r="AF19">
        <v>9648400</v>
      </c>
      <c r="AG19">
        <v>9706778</v>
      </c>
      <c r="AH19">
        <v>9765320</v>
      </c>
      <c r="AK19" s="3" t="str">
        <f ca="1">INDIRECT(ADDRESS(19,2))</f>
        <v>Population</v>
      </c>
      <c r="AL19" s="3">
        <f ca="1">INDIRECT(ADDRESS(19,3))</f>
        <v>7614893</v>
      </c>
      <c r="AM19" s="3">
        <f ca="1">INDIRECT(ADDRESS(19,9))</f>
        <v>8130742</v>
      </c>
      <c r="AN19" s="4">
        <f ca="1">IFERROR((INDIRECT(ADDRESS(19,9)) - INDIRECT(ADDRESS(19,3)))/ INDIRECT(ADDRESS(19,3)),1)</f>
        <v>6.774212060497764E-2</v>
      </c>
      <c r="AO19" s="3">
        <f ca="1">INDIRECT(ADDRESS(19,14))</f>
        <v>8510832</v>
      </c>
      <c r="AP19" s="4">
        <f ca="1">IFERROR((INDIRECT(ADDRESS(19,14)) - INDIRECT(ADDRESS(19,3)))/ INDIRECT(ADDRESS(19,3)),1)</f>
        <v>0.11765615091374232</v>
      </c>
      <c r="AQ19" s="3">
        <f ca="1">INDIRECT(ADDRESS(19,19))</f>
        <v>8853918</v>
      </c>
      <c r="AR19" s="4">
        <f ca="1">IFERROR((INDIRECT(ADDRESS(19,19)) - INDIRECT(ADDRESS(19,3)))/ INDIRECT(ADDRESS(19,3)),1)</f>
        <v>0.16271075640852734</v>
      </c>
      <c r="AS19" s="3">
        <f ca="1">INDIRECT(ADDRESS(19,24))</f>
        <v>9171777</v>
      </c>
      <c r="AT19" s="4">
        <f ca="1">IFERROR((INDIRECT(ADDRESS(19,24)) - INDIRECT(ADDRESS(19,3)))/ INDIRECT(ADDRESS(19,3)),1)</f>
        <v>0.20445251167678916</v>
      </c>
      <c r="AU19" s="3">
        <f ca="1">INDIRECT(ADDRESS(19,29))</f>
        <v>9472623</v>
      </c>
      <c r="AV19" s="4">
        <f ca="1">IFERROR((INDIRECT(ADDRESS(19,29)) - INDIRECT(ADDRESS(19,3)))/ INDIRECT(ADDRESS(19,3)),1)</f>
        <v>0.24396009241364258</v>
      </c>
      <c r="AW19" s="3">
        <f ca="1">INDIRECT(ADDRESS(19,34))</f>
        <v>9765320</v>
      </c>
      <c r="AX19" s="4">
        <f ca="1">IFERROR((INDIRECT(ADDRESS(19,34)) - INDIRECT(ADDRESS(19,3)))/ INDIRECT(ADDRESS(19,3)),1)</f>
        <v>0.2823975333599566</v>
      </c>
    </row>
    <row r="20" spans="1:50" x14ac:dyDescent="0.25">
      <c r="A20" s="5" t="s">
        <v>6</v>
      </c>
      <c r="B20" s="1" t="s">
        <v>7</v>
      </c>
      <c r="C20">
        <v>3282973</v>
      </c>
      <c r="D20">
        <v>3310209.75</v>
      </c>
      <c r="E20">
        <v>3383479.75</v>
      </c>
      <c r="F20">
        <v>3456749.75</v>
      </c>
      <c r="G20">
        <v>3530019.75</v>
      </c>
      <c r="H20">
        <v>3603289.75</v>
      </c>
      <c r="I20">
        <v>3676559.75</v>
      </c>
      <c r="J20">
        <v>3708156.25</v>
      </c>
      <c r="K20">
        <v>3739753</v>
      </c>
      <c r="L20">
        <v>3771349.75</v>
      </c>
      <c r="M20">
        <v>3802946.25</v>
      </c>
      <c r="N20">
        <v>3834543</v>
      </c>
      <c r="O20">
        <v>3861806.25</v>
      </c>
      <c r="P20">
        <v>3889069.75</v>
      </c>
      <c r="Q20">
        <v>3916333</v>
      </c>
      <c r="R20">
        <v>3943596.25</v>
      </c>
      <c r="S20">
        <v>3970859.75</v>
      </c>
      <c r="T20">
        <v>4000869.75</v>
      </c>
      <c r="U20">
        <v>4030879.75</v>
      </c>
      <c r="V20">
        <v>4060889.75</v>
      </c>
      <c r="W20">
        <v>4090899.75</v>
      </c>
      <c r="X20">
        <v>4120909.75</v>
      </c>
      <c r="Y20">
        <v>4148609.75</v>
      </c>
      <c r="Z20">
        <v>4176309.75</v>
      </c>
      <c r="AA20">
        <v>4204009.5</v>
      </c>
      <c r="AB20">
        <v>4231709.5</v>
      </c>
      <c r="AC20">
        <v>4259409.5</v>
      </c>
      <c r="AD20">
        <v>4292953</v>
      </c>
      <c r="AE20">
        <v>4326496.5</v>
      </c>
      <c r="AF20">
        <v>4360039.5</v>
      </c>
      <c r="AG20">
        <v>4393583</v>
      </c>
      <c r="AH20">
        <v>4427126.5</v>
      </c>
      <c r="AK20" s="3" t="str">
        <f ca="1">INDIRECT(ADDRESS(20,2))</f>
        <v>Employment</v>
      </c>
      <c r="AL20" s="3">
        <f ca="1">INDIRECT(ADDRESS(20,3))</f>
        <v>3282973</v>
      </c>
      <c r="AM20" s="3">
        <f ca="1">INDIRECT(ADDRESS(20,9))</f>
        <v>3676559.75</v>
      </c>
      <c r="AN20" s="4">
        <f ca="1">IFERROR((INDIRECT(ADDRESS(20,9)) - INDIRECT(ADDRESS(20,3)))/ INDIRECT(ADDRESS(20,3)),1)</f>
        <v>0.11988729422995559</v>
      </c>
      <c r="AO20" s="3">
        <f ca="1">INDIRECT(ADDRESS(20,14))</f>
        <v>3834543</v>
      </c>
      <c r="AP20" s="4">
        <f ca="1">IFERROR((INDIRECT(ADDRESS(20,14)) - INDIRECT(ADDRESS(20,3)))/ INDIRECT(ADDRESS(20,3)),1)</f>
        <v>0.16800930132535358</v>
      </c>
      <c r="AQ20" s="3">
        <f ca="1">INDIRECT(ADDRESS(20,19))</f>
        <v>3970859.75</v>
      </c>
      <c r="AR20" s="4">
        <f ca="1">IFERROR((INDIRECT(ADDRESS(20,19)) - INDIRECT(ADDRESS(20,3)))/ INDIRECT(ADDRESS(20,3)),1)</f>
        <v>0.20953165012322672</v>
      </c>
      <c r="AS20" s="3">
        <f ca="1">INDIRECT(ADDRESS(20,24))</f>
        <v>4120909.75</v>
      </c>
      <c r="AT20" s="4">
        <f ca="1">IFERROR((INDIRECT(ADDRESS(20,24)) - INDIRECT(ADDRESS(20,3)))/ INDIRECT(ADDRESS(20,3)),1)</f>
        <v>0.25523717374465155</v>
      </c>
      <c r="AU20" s="3">
        <f ca="1">INDIRECT(ADDRESS(20,29))</f>
        <v>4259409.5</v>
      </c>
      <c r="AV20" s="4">
        <f ca="1">IFERROR((INDIRECT(ADDRESS(20,29)) - INDIRECT(ADDRESS(20,3)))/ INDIRECT(ADDRESS(20,3)),1)</f>
        <v>0.2974244686142713</v>
      </c>
      <c r="AW20" s="3">
        <f ca="1">INDIRECT(ADDRESS(20,34))</f>
        <v>4427126.5</v>
      </c>
      <c r="AX20" s="4">
        <f ca="1">IFERROR((INDIRECT(ADDRESS(20,34)) - INDIRECT(ADDRESS(20,3)))/ INDIRECT(ADDRESS(20,3)),1)</f>
        <v>0.34851139500690381</v>
      </c>
    </row>
    <row r="21" spans="1:50" x14ac:dyDescent="0.25">
      <c r="A21" s="5"/>
      <c r="B21" s="1" t="s">
        <v>8</v>
      </c>
      <c r="C21">
        <v>2932477</v>
      </c>
      <c r="D21">
        <v>3222195.5</v>
      </c>
      <c r="E21">
        <v>3243919.5</v>
      </c>
      <c r="F21">
        <v>3279247.75</v>
      </c>
      <c r="G21">
        <v>3315595</v>
      </c>
      <c r="H21">
        <v>3352231</v>
      </c>
      <c r="I21">
        <v>3388867.25</v>
      </c>
      <c r="J21">
        <v>3423127.75</v>
      </c>
      <c r="K21">
        <v>3457588.25</v>
      </c>
      <c r="L21">
        <v>3492238.5</v>
      </c>
      <c r="M21">
        <v>3526889</v>
      </c>
      <c r="N21">
        <v>3561539.5</v>
      </c>
      <c r="O21">
        <v>3593892.5</v>
      </c>
      <c r="P21">
        <v>3626245.75</v>
      </c>
      <c r="Q21">
        <v>3658599</v>
      </c>
      <c r="R21">
        <v>3690952</v>
      </c>
      <c r="S21">
        <v>3723305.25</v>
      </c>
      <c r="T21">
        <v>3752038</v>
      </c>
      <c r="U21">
        <v>3780770.75</v>
      </c>
      <c r="V21">
        <v>3809503.5</v>
      </c>
      <c r="W21">
        <v>3838236.25</v>
      </c>
      <c r="X21">
        <v>3866969</v>
      </c>
      <c r="Y21">
        <v>3893262.5</v>
      </c>
      <c r="Z21">
        <v>3919556.25</v>
      </c>
      <c r="AA21">
        <v>3945850</v>
      </c>
      <c r="AB21">
        <v>3972143.5</v>
      </c>
      <c r="AC21">
        <v>3998437.25</v>
      </c>
      <c r="AD21">
        <v>4022973.5</v>
      </c>
      <c r="AE21">
        <v>4047510</v>
      </c>
      <c r="AF21">
        <v>4072046.25</v>
      </c>
      <c r="AG21">
        <v>4096582.75</v>
      </c>
      <c r="AH21">
        <v>4121119</v>
      </c>
      <c r="AK21" s="3" t="str">
        <f ca="1">INDIRECT(ADDRESS(21,2))</f>
        <v>Households</v>
      </c>
      <c r="AL21" s="3">
        <f ca="1">INDIRECT(ADDRESS(21,3))</f>
        <v>2932477</v>
      </c>
      <c r="AM21" s="3">
        <f ca="1">INDIRECT(ADDRESS(21,9))</f>
        <v>3388867.25</v>
      </c>
      <c r="AN21" s="4">
        <f ca="1">IFERROR((INDIRECT(ADDRESS(21,9)) - INDIRECT(ADDRESS(21,3)))/ INDIRECT(ADDRESS(21,3)),1)</f>
        <v>0.15563301945761213</v>
      </c>
      <c r="AO21" s="3">
        <f ca="1">INDIRECT(ADDRESS(21,14))</f>
        <v>3561539.5</v>
      </c>
      <c r="AP21" s="4">
        <f ca="1">IFERROR((INDIRECT(ADDRESS(21,14)) - INDIRECT(ADDRESS(21,3)))/ INDIRECT(ADDRESS(21,3)),1)</f>
        <v>0.21451574897262621</v>
      </c>
      <c r="AQ21" s="3">
        <f ca="1">INDIRECT(ADDRESS(21,19))</f>
        <v>3723305.25</v>
      </c>
      <c r="AR21" s="4">
        <f ca="1">IFERROR((INDIRECT(ADDRESS(21,19)) - INDIRECT(ADDRESS(21,3)))/ INDIRECT(ADDRESS(21,3)),1)</f>
        <v>0.2696792677316821</v>
      </c>
      <c r="AS21" s="3">
        <f ca="1">INDIRECT(ADDRESS(21,24))</f>
        <v>3866969</v>
      </c>
      <c r="AT21" s="4">
        <f ca="1">IFERROR((INDIRECT(ADDRESS(21,24)) - INDIRECT(ADDRESS(21,3)))/ INDIRECT(ADDRESS(21,3)),1)</f>
        <v>0.31866984804995913</v>
      </c>
      <c r="AU21" s="3">
        <f ca="1">INDIRECT(ADDRESS(21,29))</f>
        <v>3998437.25</v>
      </c>
      <c r="AV21" s="4">
        <f ca="1">IFERROR((INDIRECT(ADDRESS(21,29)) - INDIRECT(ADDRESS(21,3)))/ INDIRECT(ADDRESS(21,3)),1)</f>
        <v>0.36350165747250535</v>
      </c>
      <c r="AW21" s="3">
        <f ca="1">INDIRECT(ADDRESS(21,34))</f>
        <v>4121119</v>
      </c>
      <c r="AX21" s="4">
        <f ca="1">IFERROR((INDIRECT(ADDRESS(21,34)) - INDIRECT(ADDRESS(21,3)))/ INDIRECT(ADDRESS(21,3)),1)</f>
        <v>0.40533719446051919</v>
      </c>
    </row>
    <row r="22" spans="1:50" x14ac:dyDescent="0.25">
      <c r="A22" s="5"/>
      <c r="B22" s="1" t="s">
        <v>9</v>
      </c>
      <c r="C22">
        <v>5432139</v>
      </c>
      <c r="D22">
        <v>5972041</v>
      </c>
      <c r="E22">
        <v>6013588.5</v>
      </c>
      <c r="F22">
        <v>6079909</v>
      </c>
      <c r="G22">
        <v>6147767.5</v>
      </c>
      <c r="H22">
        <v>6216280</v>
      </c>
      <c r="I22">
        <v>6285659</v>
      </c>
      <c r="J22">
        <v>6350451</v>
      </c>
      <c r="K22">
        <v>6415931</v>
      </c>
      <c r="L22">
        <v>6481514</v>
      </c>
      <c r="M22">
        <v>6547624.5</v>
      </c>
      <c r="N22">
        <v>6612029</v>
      </c>
      <c r="O22">
        <v>6673524</v>
      </c>
      <c r="P22">
        <v>6734910</v>
      </c>
      <c r="Q22">
        <v>6796506</v>
      </c>
      <c r="R22">
        <v>6857229</v>
      </c>
      <c r="S22">
        <v>6917433</v>
      </c>
      <c r="T22">
        <v>6970431.5</v>
      </c>
      <c r="U22">
        <v>7024334.5</v>
      </c>
      <c r="V22">
        <v>7078359.5</v>
      </c>
      <c r="W22">
        <v>7132783.5</v>
      </c>
      <c r="X22">
        <v>7186541.5</v>
      </c>
      <c r="Y22">
        <v>7236020.5</v>
      </c>
      <c r="Z22">
        <v>7284687.5</v>
      </c>
      <c r="AA22">
        <v>7333063.5</v>
      </c>
      <c r="AB22">
        <v>7381008.5</v>
      </c>
      <c r="AC22">
        <v>7427734.5</v>
      </c>
      <c r="AD22">
        <v>7471124.5</v>
      </c>
      <c r="AE22">
        <v>7515129</v>
      </c>
      <c r="AF22">
        <v>7559409.5</v>
      </c>
      <c r="AG22">
        <v>7603822.5</v>
      </c>
      <c r="AH22">
        <v>7648720.5</v>
      </c>
      <c r="AK22" s="3" t="str">
        <f ca="1">INDIRECT(ADDRESS(22,2))</f>
        <v>Personal Vehicles</v>
      </c>
      <c r="AL22" s="3">
        <f ca="1">INDIRECT(ADDRESS(22,3))</f>
        <v>5432139</v>
      </c>
      <c r="AM22" s="3">
        <f ca="1">INDIRECT(ADDRESS(22,9))</f>
        <v>6285659</v>
      </c>
      <c r="AN22" s="4">
        <f ca="1">IFERROR((INDIRECT(ADDRESS(22,9)) - INDIRECT(ADDRESS(22,3)))/ INDIRECT(ADDRESS(22,3)),1)</f>
        <v>0.15712410893756584</v>
      </c>
      <c r="AO22" s="3">
        <f ca="1">INDIRECT(ADDRESS(22,14))</f>
        <v>6612029</v>
      </c>
      <c r="AP22" s="4">
        <f ca="1">IFERROR((INDIRECT(ADDRESS(22,14)) - INDIRECT(ADDRESS(22,3)))/ INDIRECT(ADDRESS(22,3)),1)</f>
        <v>0.21720541392626366</v>
      </c>
      <c r="AQ22" s="3">
        <f ca="1">INDIRECT(ADDRESS(22,19))</f>
        <v>6917433</v>
      </c>
      <c r="AR22" s="4">
        <f ca="1">IFERROR((INDIRECT(ADDRESS(22,19)) - INDIRECT(ADDRESS(22,3)))/ INDIRECT(ADDRESS(22,3)),1)</f>
        <v>0.27342709750247557</v>
      </c>
      <c r="AS22" s="3">
        <f ca="1">INDIRECT(ADDRESS(22,24))</f>
        <v>7186541.5</v>
      </c>
      <c r="AT22" s="4">
        <f ca="1">IFERROR((INDIRECT(ADDRESS(22,24)) - INDIRECT(ADDRESS(22,3)))/ INDIRECT(ADDRESS(22,3)),1)</f>
        <v>0.32296715897733841</v>
      </c>
      <c r="AU22" s="3">
        <f ca="1">INDIRECT(ADDRESS(22,29))</f>
        <v>7427734.5</v>
      </c>
      <c r="AV22" s="4">
        <f ca="1">IFERROR((INDIRECT(ADDRESS(22,29)) - INDIRECT(ADDRESS(22,3)))/ INDIRECT(ADDRESS(22,3)),1)</f>
        <v>0.36736826874275491</v>
      </c>
      <c r="AW22" s="3">
        <f ca="1">INDIRECT(ADDRESS(22,34))</f>
        <v>7648720.5</v>
      </c>
      <c r="AX22" s="4">
        <f ca="1">IFERROR((INDIRECT(ADDRESS(22,34)) - INDIRECT(ADDRESS(22,3)))/ INDIRECT(ADDRESS(22,3)),1)</f>
        <v>0.40804948106077549</v>
      </c>
    </row>
    <row r="23" spans="1:50" x14ac:dyDescent="0.25">
      <c r="A23" s="5"/>
      <c r="B23" s="1" t="s">
        <v>10</v>
      </c>
      <c r="C23">
        <v>7614893</v>
      </c>
      <c r="D23">
        <v>7703752.5</v>
      </c>
      <c r="E23">
        <v>7792110</v>
      </c>
      <c r="F23">
        <v>7879186.5</v>
      </c>
      <c r="G23">
        <v>7964700.5</v>
      </c>
      <c r="H23">
        <v>8048526</v>
      </c>
      <c r="I23">
        <v>8130742</v>
      </c>
      <c r="J23">
        <v>8210531</v>
      </c>
      <c r="K23">
        <v>8288163.5</v>
      </c>
      <c r="L23">
        <v>8363870.5</v>
      </c>
      <c r="M23">
        <v>8437980</v>
      </c>
      <c r="N23">
        <v>8510832</v>
      </c>
      <c r="O23">
        <v>8581806</v>
      </c>
      <c r="P23">
        <v>8651308</v>
      </c>
      <c r="Q23">
        <v>8719592</v>
      </c>
      <c r="R23">
        <v>8787008</v>
      </c>
      <c r="S23">
        <v>8853918</v>
      </c>
      <c r="T23">
        <v>8919218</v>
      </c>
      <c r="U23">
        <v>8983365</v>
      </c>
      <c r="V23">
        <v>9046667</v>
      </c>
      <c r="W23">
        <v>9109381</v>
      </c>
      <c r="X23">
        <v>9171777</v>
      </c>
      <c r="Y23">
        <v>9233072</v>
      </c>
      <c r="Z23">
        <v>9293559</v>
      </c>
      <c r="AA23">
        <v>9353509</v>
      </c>
      <c r="AB23">
        <v>9413135</v>
      </c>
      <c r="AC23">
        <v>9472623</v>
      </c>
      <c r="AD23">
        <v>9531523</v>
      </c>
      <c r="AE23">
        <v>9590036</v>
      </c>
      <c r="AF23">
        <v>9648400</v>
      </c>
      <c r="AG23">
        <v>9706778</v>
      </c>
      <c r="AH23">
        <v>9765320</v>
      </c>
      <c r="AK23" s="3" t="str">
        <f ca="1">INDIRECT(ADDRESS(23,2))</f>
        <v>Population</v>
      </c>
      <c r="AL23" s="3">
        <f ca="1">INDIRECT(ADDRESS(23,3))</f>
        <v>7614893</v>
      </c>
      <c r="AM23" s="3">
        <f ca="1">INDIRECT(ADDRESS(23,9))</f>
        <v>8130742</v>
      </c>
      <c r="AN23" s="4">
        <f ca="1">IFERROR((INDIRECT(ADDRESS(23,9)) - INDIRECT(ADDRESS(23,3)))/ INDIRECT(ADDRESS(23,3)),1)</f>
        <v>6.774212060497764E-2</v>
      </c>
      <c r="AO23" s="3">
        <f ca="1">INDIRECT(ADDRESS(23,14))</f>
        <v>8510832</v>
      </c>
      <c r="AP23" s="4">
        <f ca="1">IFERROR((INDIRECT(ADDRESS(23,14)) - INDIRECT(ADDRESS(23,3)))/ INDIRECT(ADDRESS(23,3)),1)</f>
        <v>0.11765615091374232</v>
      </c>
      <c r="AQ23" s="3">
        <f ca="1">INDIRECT(ADDRESS(23,19))</f>
        <v>8853918</v>
      </c>
      <c r="AR23" s="4">
        <f ca="1">IFERROR((INDIRECT(ADDRESS(23,19)) - INDIRECT(ADDRESS(23,3)))/ INDIRECT(ADDRESS(23,3)),1)</f>
        <v>0.16271075640852734</v>
      </c>
      <c r="AS23" s="3">
        <f ca="1">INDIRECT(ADDRESS(23,24))</f>
        <v>9171777</v>
      </c>
      <c r="AT23" s="4">
        <f ca="1">IFERROR((INDIRECT(ADDRESS(23,24)) - INDIRECT(ADDRESS(23,3)))/ INDIRECT(ADDRESS(23,3)),1)</f>
        <v>0.20445251167678916</v>
      </c>
      <c r="AU23" s="3">
        <f ca="1">INDIRECT(ADDRESS(23,29))</f>
        <v>9472623</v>
      </c>
      <c r="AV23" s="4">
        <f ca="1">IFERROR((INDIRECT(ADDRESS(23,29)) - INDIRECT(ADDRESS(23,3)))/ INDIRECT(ADDRESS(23,3)),1)</f>
        <v>0.24396009241364258</v>
      </c>
      <c r="AW23" s="3">
        <f ca="1">INDIRECT(ADDRESS(23,34))</f>
        <v>9765320</v>
      </c>
      <c r="AX23" s="4">
        <f ca="1">IFERROR((INDIRECT(ADDRESS(23,34)) - INDIRECT(ADDRESS(23,3)))/ INDIRECT(ADDRESS(23,3)),1)</f>
        <v>0.2823975333599566</v>
      </c>
    </row>
  </sheetData>
  <mergeCells count="5">
    <mergeCell ref="A4:A7"/>
    <mergeCell ref="A8:A11"/>
    <mergeCell ref="A12:A15"/>
    <mergeCell ref="A16:A19"/>
    <mergeCell ref="A20:A2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E116"/>
  <sheetViews>
    <sheetView workbookViewId="0"/>
  </sheetViews>
  <sheetFormatPr defaultRowHeight="15" x14ac:dyDescent="0.25"/>
  <cols>
    <col min="36" max="55" width="20.7109375" customWidth="1"/>
  </cols>
  <sheetData>
    <row r="1" spans="1:57" x14ac:dyDescent="0.25">
      <c r="A1" t="s">
        <v>11</v>
      </c>
      <c r="B1" t="s">
        <v>69</v>
      </c>
    </row>
    <row r="3" spans="1:57" x14ac:dyDescent="0.25">
      <c r="A3" s="1" t="s">
        <v>0</v>
      </c>
      <c r="B3" s="1">
        <v>2019</v>
      </c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  <c r="I3" s="1">
        <v>2026</v>
      </c>
      <c r="J3" s="1">
        <v>2027</v>
      </c>
      <c r="K3" s="1">
        <v>2028</v>
      </c>
      <c r="L3" s="1">
        <v>2029</v>
      </c>
      <c r="M3" s="1">
        <v>2030</v>
      </c>
      <c r="N3" s="1">
        <v>2031</v>
      </c>
      <c r="O3" s="1">
        <v>2032</v>
      </c>
      <c r="P3" s="1">
        <v>2033</v>
      </c>
      <c r="Q3" s="1">
        <v>2034</v>
      </c>
      <c r="R3" s="1">
        <v>2035</v>
      </c>
      <c r="S3" s="1">
        <v>2036</v>
      </c>
      <c r="T3" s="1">
        <v>2037</v>
      </c>
      <c r="U3" s="1">
        <v>2038</v>
      </c>
      <c r="V3" s="1">
        <v>2039</v>
      </c>
      <c r="W3" s="1">
        <v>2040</v>
      </c>
      <c r="X3" s="1">
        <v>2041</v>
      </c>
      <c r="Y3" s="1">
        <v>2042</v>
      </c>
      <c r="Z3" s="1">
        <v>2043</v>
      </c>
      <c r="AA3" s="1">
        <v>2044</v>
      </c>
      <c r="AB3" s="1">
        <v>2045</v>
      </c>
      <c r="AC3" s="1">
        <v>2046</v>
      </c>
      <c r="AD3" s="1">
        <v>2047</v>
      </c>
      <c r="AE3" s="1">
        <v>2048</v>
      </c>
      <c r="AF3" s="1">
        <v>2049</v>
      </c>
      <c r="AG3" s="1">
        <v>2050</v>
      </c>
      <c r="AK3" s="2">
        <f ca="1">INDIRECT(ADDRESS(3,2))</f>
        <v>2019</v>
      </c>
      <c r="AL3" s="2">
        <f ca="1">INDIRECT(ADDRESS(3,8))</f>
        <v>2025</v>
      </c>
      <c r="AM3" s="2" t="str">
        <f ca="1">CONCATENATE("% change ",INDIRECT(ADDRESS(3,2)),"-",INDIRECT(ADDRESS(3,8)))</f>
        <v>% change 2019-2025</v>
      </c>
      <c r="AN3" s="2">
        <f ca="1">INDIRECT(ADDRESS(3,13))</f>
        <v>2030</v>
      </c>
      <c r="AO3" s="2" t="str">
        <f ca="1">CONCATENATE("% change ",INDIRECT(ADDRESS(3,2)),"-",INDIRECT(ADDRESS(3,13)))</f>
        <v>% change 2019-2030</v>
      </c>
      <c r="AP3" s="2">
        <f ca="1">INDIRECT(ADDRESS(3,18))</f>
        <v>2035</v>
      </c>
      <c r="AQ3" s="2" t="str">
        <f ca="1">CONCATENATE("% change ",INDIRECT(ADDRESS(3,2)),"-",INDIRECT(ADDRESS(3,18)))</f>
        <v>% change 2019-2035</v>
      </c>
      <c r="AR3" s="2">
        <f ca="1">INDIRECT(ADDRESS(3,23))</f>
        <v>2040</v>
      </c>
      <c r="AS3" s="2" t="str">
        <f ca="1">CONCATENATE("% change ",INDIRECT(ADDRESS(3,2)),"-",INDIRECT(ADDRESS(3,23)))</f>
        <v>% change 2019-2040</v>
      </c>
      <c r="AT3" s="2">
        <f ca="1">INDIRECT(ADDRESS(3,28))</f>
        <v>2045</v>
      </c>
      <c r="AU3" s="2" t="str">
        <f ca="1">CONCATENATE("% change ",INDIRECT(ADDRESS(3,2)),"-",INDIRECT(ADDRESS(3,28)))</f>
        <v>% change 2019-2045</v>
      </c>
      <c r="AV3" s="2">
        <f ca="1">INDIRECT(ADDRESS(3,33))</f>
        <v>2050</v>
      </c>
      <c r="AW3" s="2" t="str">
        <f ca="1">CONCATENATE("% change ",INDIRECT(ADDRESS(3,2)),"-",INDIRECT(ADDRESS(3,33)))</f>
        <v>% change 2019-2050</v>
      </c>
    </row>
    <row r="4" spans="1:57" x14ac:dyDescent="0.25">
      <c r="A4" s="1" t="s">
        <v>2</v>
      </c>
      <c r="B4">
        <v>485011285.637694</v>
      </c>
      <c r="C4">
        <v>476627736.76712799</v>
      </c>
      <c r="D4">
        <v>459814671.46596003</v>
      </c>
      <c r="E4">
        <v>440405154.85591</v>
      </c>
      <c r="F4">
        <v>422602685.446464</v>
      </c>
      <c r="G4">
        <v>401101128.96676803</v>
      </c>
      <c r="H4">
        <v>370339923.10721898</v>
      </c>
      <c r="I4">
        <v>347108842.49642199</v>
      </c>
      <c r="J4">
        <v>323408514.52730203</v>
      </c>
      <c r="K4">
        <v>300068684.45640498</v>
      </c>
      <c r="L4">
        <v>278349692.57491601</v>
      </c>
      <c r="M4">
        <v>260120919.611857</v>
      </c>
      <c r="N4">
        <v>244754108.987266</v>
      </c>
      <c r="O4">
        <v>231769898.723616</v>
      </c>
      <c r="P4">
        <v>220218235.979918</v>
      </c>
      <c r="Q4">
        <v>207780253.683332</v>
      </c>
      <c r="R4">
        <v>197737837.83064699</v>
      </c>
      <c r="S4">
        <v>190321126.50787801</v>
      </c>
      <c r="T4">
        <v>183103466.936647</v>
      </c>
      <c r="U4">
        <v>176392270.27383599</v>
      </c>
      <c r="V4">
        <v>171104206.92006999</v>
      </c>
      <c r="W4">
        <v>166367099.79397801</v>
      </c>
      <c r="X4">
        <v>162670648.084308</v>
      </c>
      <c r="Y4">
        <v>159228380.52083799</v>
      </c>
      <c r="Z4">
        <v>156130147.39482501</v>
      </c>
      <c r="AA4">
        <v>153420866.28109601</v>
      </c>
      <c r="AB4">
        <v>151093942.99309099</v>
      </c>
      <c r="AC4">
        <v>149153581.10715601</v>
      </c>
      <c r="AD4">
        <v>147560073.458132</v>
      </c>
      <c r="AE4">
        <v>146272452.431656</v>
      </c>
      <c r="AF4">
        <v>145229305.864618</v>
      </c>
      <c r="AG4">
        <v>144337343.64432499</v>
      </c>
      <c r="AJ4" s="3" t="str">
        <f ca="1">INDIRECT(ADDRESS(4,1))</f>
        <v>AltFuels</v>
      </c>
      <c r="AK4" s="3">
        <f ca="1">INDIRECT(ADDRESS(4,2))</f>
        <v>485011285.637694</v>
      </c>
      <c r="AL4" s="3">
        <f ca="1">INDIRECT(ADDRESS(4,8))</f>
        <v>370339923.10721898</v>
      </c>
      <c r="AM4" s="4">
        <f ca="1">IFERROR((INDIRECT(ADDRESS(4,8)) - INDIRECT(ADDRESS(4,2)))/ INDIRECT(ADDRESS(4,2)),1)</f>
        <v>-0.23643029745113012</v>
      </c>
      <c r="AN4" s="3">
        <f ca="1">INDIRECT(ADDRESS(4,13))</f>
        <v>260120919.611857</v>
      </c>
      <c r="AO4" s="4">
        <f ca="1">IFERROR((INDIRECT(ADDRESS(4,13)) - INDIRECT(ADDRESS(4,2)))/ INDIRECT(ADDRESS(4,2)),1)</f>
        <v>-0.46368068679092822</v>
      </c>
      <c r="AP4" s="3">
        <f ca="1">INDIRECT(ADDRESS(4,18))</f>
        <v>197737837.83064699</v>
      </c>
      <c r="AQ4" s="4">
        <f ca="1">IFERROR((INDIRECT(ADDRESS(4,18)) - INDIRECT(ADDRESS(4,2)))/ INDIRECT(ADDRESS(4,2)),1)</f>
        <v>-0.59230260473081398</v>
      </c>
      <c r="AR4" s="3">
        <f ca="1">INDIRECT(ADDRESS(4,23))</f>
        <v>166367099.79397801</v>
      </c>
      <c r="AS4" s="4">
        <f ca="1">IFERROR((INDIRECT(ADDRESS(4,23)) - INDIRECT(ADDRESS(4,2)))/ INDIRECT(ADDRESS(4,2)),1)</f>
        <v>-0.65698303375510503</v>
      </c>
      <c r="AT4" s="3">
        <f ca="1">INDIRECT(ADDRESS(4,28))</f>
        <v>151093942.99309099</v>
      </c>
      <c r="AU4" s="4">
        <f ca="1">IFERROR((INDIRECT(ADDRESS(4,28)) - INDIRECT(ADDRESS(4,2)))/ INDIRECT(ADDRESS(4,2)),1)</f>
        <v>-0.68847334594610043</v>
      </c>
      <c r="AV4" s="3">
        <f ca="1">INDIRECT(ADDRESS(4,33))</f>
        <v>144337343.64432499</v>
      </c>
      <c r="AW4" s="4">
        <f ca="1">IFERROR((INDIRECT(ADDRESS(4,33)) - INDIRECT(ADDRESS(4,2)))/ INDIRECT(ADDRESS(4,2)),1)</f>
        <v>-0.70240415446302462</v>
      </c>
    </row>
    <row r="5" spans="1:57" x14ac:dyDescent="0.25">
      <c r="A5" s="1" t="s">
        <v>3</v>
      </c>
      <c r="B5">
        <v>485011285.637694</v>
      </c>
      <c r="C5">
        <v>476251318.30788201</v>
      </c>
      <c r="D5">
        <v>468731671.29233998</v>
      </c>
      <c r="E5">
        <v>458008187.227112</v>
      </c>
      <c r="F5">
        <v>448366847.52575701</v>
      </c>
      <c r="G5">
        <v>434172036.952784</v>
      </c>
      <c r="H5">
        <v>408945340.38623601</v>
      </c>
      <c r="I5">
        <v>391007330.47014201</v>
      </c>
      <c r="J5">
        <v>371579998.757043</v>
      </c>
      <c r="K5">
        <v>351567376.11194801</v>
      </c>
      <c r="L5">
        <v>332471447.83422798</v>
      </c>
      <c r="M5">
        <v>316664044.22082198</v>
      </c>
      <c r="N5">
        <v>303586307.34400803</v>
      </c>
      <c r="O5">
        <v>292817267.177616</v>
      </c>
      <c r="P5">
        <v>283265003.06838</v>
      </c>
      <c r="Q5">
        <v>271947294.61590803</v>
      </c>
      <c r="R5">
        <v>263195577.97155401</v>
      </c>
      <c r="S5">
        <v>253924802.02806699</v>
      </c>
      <c r="T5">
        <v>244695972.163293</v>
      </c>
      <c r="U5">
        <v>235940895.09630001</v>
      </c>
      <c r="V5">
        <v>230108811.582187</v>
      </c>
      <c r="W5">
        <v>224880978.35067999</v>
      </c>
      <c r="X5">
        <v>219722386.92099899</v>
      </c>
      <c r="Y5">
        <v>214918188.990125</v>
      </c>
      <c r="Z5">
        <v>210606466.13601199</v>
      </c>
      <c r="AA5">
        <v>206858576.84486899</v>
      </c>
      <c r="AB5">
        <v>203668633.13345</v>
      </c>
      <c r="AC5">
        <v>201040363.180655</v>
      </c>
      <c r="AD5">
        <v>198921579.27481201</v>
      </c>
      <c r="AE5">
        <v>197252128.40878299</v>
      </c>
      <c r="AF5">
        <v>195941573.939464</v>
      </c>
      <c r="AG5">
        <v>194851445.47941601</v>
      </c>
      <c r="AJ5" s="3" t="str">
        <f ca="1">INDIRECT(ADDRESS(5,1))</f>
        <v>BAP</v>
      </c>
      <c r="AK5" s="3">
        <f ca="1">INDIRECT(ADDRESS(5,2))</f>
        <v>485011285.637694</v>
      </c>
      <c r="AL5" s="3">
        <f ca="1">INDIRECT(ADDRESS(5,8))</f>
        <v>408945340.38623601</v>
      </c>
      <c r="AM5" s="4">
        <f ca="1">IFERROR((INDIRECT(ADDRESS(5,8)) - INDIRECT(ADDRESS(5,2)))/ INDIRECT(ADDRESS(5,2)),1)</f>
        <v>-0.1568333511073795</v>
      </c>
      <c r="AN5" s="3">
        <f ca="1">INDIRECT(ADDRESS(5,13))</f>
        <v>316664044.22082198</v>
      </c>
      <c r="AO5" s="4">
        <f ca="1">IFERROR((INDIRECT(ADDRESS(5,13)) - INDIRECT(ADDRESS(5,2)))/ INDIRECT(ADDRESS(5,2)),1)</f>
        <v>-0.34709963747653555</v>
      </c>
      <c r="AP5" s="3">
        <f ca="1">INDIRECT(ADDRESS(5,18))</f>
        <v>263195577.97155401</v>
      </c>
      <c r="AQ5" s="4">
        <f ca="1">IFERROR((INDIRECT(ADDRESS(5,18)) - INDIRECT(ADDRESS(5,2)))/ INDIRECT(ADDRESS(5,2)),1)</f>
        <v>-0.45734133253104858</v>
      </c>
      <c r="AR5" s="3">
        <f ca="1">INDIRECT(ADDRESS(5,23))</f>
        <v>224880978.35067999</v>
      </c>
      <c r="AS5" s="4">
        <f ca="1">IFERROR((INDIRECT(ADDRESS(5,23)) - INDIRECT(ADDRESS(5,2)))/ INDIRECT(ADDRESS(5,2)),1)</f>
        <v>-0.53633866878993142</v>
      </c>
      <c r="AT5" s="3">
        <f ca="1">INDIRECT(ADDRESS(5,28))</f>
        <v>203668633.13345</v>
      </c>
      <c r="AU5" s="4">
        <f ca="1">IFERROR((INDIRECT(ADDRESS(5,28)) - INDIRECT(ADDRESS(5,2)))/ INDIRECT(ADDRESS(5,2)),1)</f>
        <v>-0.58007444534890351</v>
      </c>
      <c r="AV5" s="3">
        <f ca="1">INDIRECT(ADDRESS(5,33))</f>
        <v>194851445.47941601</v>
      </c>
      <c r="AW5" s="4">
        <f ca="1">IFERROR((INDIRECT(ADDRESS(5,33)) - INDIRECT(ADDRESS(5,2)))/ INDIRECT(ADDRESS(5,2)),1)</f>
        <v>-0.59825379068607676</v>
      </c>
    </row>
    <row r="6" spans="1:57" x14ac:dyDescent="0.25">
      <c r="A6" s="1" t="s">
        <v>4</v>
      </c>
      <c r="B6">
        <v>485011285.637694</v>
      </c>
      <c r="C6">
        <v>477710447.23049998</v>
      </c>
      <c r="D6">
        <v>477885105.22183102</v>
      </c>
      <c r="E6">
        <v>474679127.81839103</v>
      </c>
      <c r="F6">
        <v>472509848.58019799</v>
      </c>
      <c r="G6">
        <v>466964724.84656501</v>
      </c>
      <c r="H6">
        <v>449834046.33483398</v>
      </c>
      <c r="I6">
        <v>440275711.520064</v>
      </c>
      <c r="J6">
        <v>429808009.84548199</v>
      </c>
      <c r="K6">
        <v>419402703.72272003</v>
      </c>
      <c r="L6">
        <v>410271596.92126298</v>
      </c>
      <c r="M6">
        <v>404828853.584216</v>
      </c>
      <c r="N6">
        <v>401735503.733172</v>
      </c>
      <c r="O6">
        <v>400819309.26432103</v>
      </c>
      <c r="P6">
        <v>400976944.48104501</v>
      </c>
      <c r="Q6">
        <v>399436417.32986599</v>
      </c>
      <c r="R6">
        <v>400253235.710033</v>
      </c>
      <c r="S6">
        <v>400459132.56473798</v>
      </c>
      <c r="T6">
        <v>400639122.431651</v>
      </c>
      <c r="U6">
        <v>401002552.18839401</v>
      </c>
      <c r="V6">
        <v>401810872.66995603</v>
      </c>
      <c r="W6">
        <v>403011675.64352602</v>
      </c>
      <c r="X6">
        <v>403943749.18996602</v>
      </c>
      <c r="Y6">
        <v>404751913.85989398</v>
      </c>
      <c r="Z6">
        <v>405494527.37068897</v>
      </c>
      <c r="AA6">
        <v>406303830.78061599</v>
      </c>
      <c r="AB6">
        <v>407277896.82881802</v>
      </c>
      <c r="AC6">
        <v>408511445.94180697</v>
      </c>
      <c r="AD6">
        <v>410053775.45675802</v>
      </c>
      <c r="AE6">
        <v>411921333.93778402</v>
      </c>
      <c r="AF6">
        <v>414079466.65351897</v>
      </c>
      <c r="AG6">
        <v>416378576.49445897</v>
      </c>
      <c r="AJ6" s="3" t="str">
        <f ca="1">INDIRECT(ADDRESS(6,1))</f>
        <v>BAU</v>
      </c>
      <c r="AK6" s="3">
        <f ca="1">INDIRECT(ADDRESS(6,2))</f>
        <v>485011285.637694</v>
      </c>
      <c r="AL6" s="3">
        <f ca="1">INDIRECT(ADDRESS(6,8))</f>
        <v>449834046.33483398</v>
      </c>
      <c r="AM6" s="4">
        <f ca="1">IFERROR((INDIRECT(ADDRESS(6,8)) - INDIRECT(ADDRESS(6,2)))/ INDIRECT(ADDRESS(6,2)),1)</f>
        <v>-7.2528702618968766E-2</v>
      </c>
      <c r="AN6" s="3">
        <f ca="1">INDIRECT(ADDRESS(6,13))</f>
        <v>404828853.584216</v>
      </c>
      <c r="AO6" s="4">
        <f ca="1">IFERROR((INDIRECT(ADDRESS(6,13)) - INDIRECT(ADDRESS(6,2)))/ INDIRECT(ADDRESS(6,2)),1)</f>
        <v>-0.16532075526459955</v>
      </c>
      <c r="AP6" s="3">
        <f ca="1">INDIRECT(ADDRESS(6,18))</f>
        <v>400253235.710033</v>
      </c>
      <c r="AQ6" s="4">
        <f ca="1">IFERROR((INDIRECT(ADDRESS(6,18)) - INDIRECT(ADDRESS(6,2)))/ INDIRECT(ADDRESS(6,2)),1)</f>
        <v>-0.17475479939857672</v>
      </c>
      <c r="AR6" s="3">
        <f ca="1">INDIRECT(ADDRESS(6,23))</f>
        <v>403011675.64352602</v>
      </c>
      <c r="AS6" s="4">
        <f ca="1">IFERROR((INDIRECT(ADDRESS(6,23)) - INDIRECT(ADDRESS(6,2)))/ INDIRECT(ADDRESS(6,2)),1)</f>
        <v>-0.16906742672256522</v>
      </c>
      <c r="AT6" s="3">
        <f ca="1">INDIRECT(ADDRESS(6,28))</f>
        <v>407277896.82881802</v>
      </c>
      <c r="AU6" s="4">
        <f ca="1">IFERROR((INDIRECT(ADDRESS(6,28)) - INDIRECT(ADDRESS(6,2)))/ INDIRECT(ADDRESS(6,2)),1)</f>
        <v>-0.16027129906198354</v>
      </c>
      <c r="AV6" s="3">
        <f ca="1">INDIRECT(ADDRESS(6,33))</f>
        <v>416378576.49445897</v>
      </c>
      <c r="AW6" s="4">
        <f ca="1">IFERROR((INDIRECT(ADDRESS(6,33)) - INDIRECT(ADDRESS(6,2)))/ INDIRECT(ADDRESS(6,2)),1)</f>
        <v>-0.14150744771432808</v>
      </c>
    </row>
    <row r="7" spans="1:57" x14ac:dyDescent="0.25">
      <c r="A7" s="1" t="s">
        <v>5</v>
      </c>
      <c r="B7">
        <v>485011285.637694</v>
      </c>
      <c r="C7">
        <v>476484342.63805002</v>
      </c>
      <c r="D7">
        <v>457518527.01606297</v>
      </c>
      <c r="E7">
        <v>436138909.36892998</v>
      </c>
      <c r="F7">
        <v>416548297.02216202</v>
      </c>
      <c r="G7">
        <v>393438549.88197398</v>
      </c>
      <c r="H7">
        <v>361226188.99194598</v>
      </c>
      <c r="I7">
        <v>336743133.66914803</v>
      </c>
      <c r="J7">
        <v>311956596.432845</v>
      </c>
      <c r="K7">
        <v>287626907.30954498</v>
      </c>
      <c r="L7">
        <v>264986121.33373699</v>
      </c>
      <c r="M7">
        <v>245867562.65454599</v>
      </c>
      <c r="N7">
        <v>229628249.684558</v>
      </c>
      <c r="O7">
        <v>215763261.77737001</v>
      </c>
      <c r="P7">
        <v>203318117.25886199</v>
      </c>
      <c r="Q7">
        <v>189973961.87971199</v>
      </c>
      <c r="R7">
        <v>179013024.040095</v>
      </c>
      <c r="S7">
        <v>172051758.99847099</v>
      </c>
      <c r="T7">
        <v>165243362.67146701</v>
      </c>
      <c r="U7">
        <v>158901023.03434399</v>
      </c>
      <c r="V7">
        <v>153947132.632431</v>
      </c>
      <c r="W7">
        <v>149514769.52490199</v>
      </c>
      <c r="X7">
        <v>146107945.543268</v>
      </c>
      <c r="Y7">
        <v>142936262.80380499</v>
      </c>
      <c r="Z7">
        <v>140093561.454059</v>
      </c>
      <c r="AA7">
        <v>137629016.84202501</v>
      </c>
      <c r="AB7">
        <v>135539744.085926</v>
      </c>
      <c r="AC7">
        <v>133827154.65333299</v>
      </c>
      <c r="AD7">
        <v>132459172.040038</v>
      </c>
      <c r="AE7">
        <v>131395827.593018</v>
      </c>
      <c r="AF7">
        <v>130576115.23689599</v>
      </c>
      <c r="AG7">
        <v>129906890.59395599</v>
      </c>
      <c r="AJ7" s="3" t="str">
        <f ca="1">INDIRECT(ADDRESS(7,1))</f>
        <v>Elec</v>
      </c>
      <c r="AK7" s="3">
        <f ca="1">INDIRECT(ADDRESS(7,2))</f>
        <v>485011285.637694</v>
      </c>
      <c r="AL7" s="3">
        <f ca="1">INDIRECT(ADDRESS(7,8))</f>
        <v>361226188.99194598</v>
      </c>
      <c r="AM7" s="4">
        <f ca="1">IFERROR((INDIRECT(ADDRESS(7,8)) - INDIRECT(ADDRESS(7,2)))/ INDIRECT(ADDRESS(7,2)),1)</f>
        <v>-0.25522106456346699</v>
      </c>
      <c r="AN7" s="3">
        <f ca="1">INDIRECT(ADDRESS(7,13))</f>
        <v>245867562.65454599</v>
      </c>
      <c r="AO7" s="4">
        <f ca="1">IFERROR((INDIRECT(ADDRESS(7,13)) - INDIRECT(ADDRESS(7,2)))/ INDIRECT(ADDRESS(7,2)),1)</f>
        <v>-0.49306836781894936</v>
      </c>
      <c r="AP7" s="3">
        <f ca="1">INDIRECT(ADDRESS(7,18))</f>
        <v>179013024.040095</v>
      </c>
      <c r="AQ7" s="4">
        <f ca="1">IFERROR((INDIRECT(ADDRESS(7,18)) - INDIRECT(ADDRESS(7,2)))/ INDIRECT(ADDRESS(7,2)),1)</f>
        <v>-0.63090956985726998</v>
      </c>
      <c r="AR7" s="3">
        <f ca="1">INDIRECT(ADDRESS(7,23))</f>
        <v>149514769.52490199</v>
      </c>
      <c r="AS7" s="4">
        <f ca="1">IFERROR((INDIRECT(ADDRESS(7,23)) - INDIRECT(ADDRESS(7,2)))/ INDIRECT(ADDRESS(7,2)),1)</f>
        <v>-0.69172929795165572</v>
      </c>
      <c r="AT7" s="3">
        <f ca="1">INDIRECT(ADDRESS(7,28))</f>
        <v>135539744.085926</v>
      </c>
      <c r="AU7" s="4">
        <f ca="1">IFERROR((INDIRECT(ADDRESS(7,28)) - INDIRECT(ADDRESS(7,2)))/ INDIRECT(ADDRESS(7,2)),1)</f>
        <v>-0.72054311291392314</v>
      </c>
      <c r="AV7" s="3">
        <f ca="1">INDIRECT(ADDRESS(7,33))</f>
        <v>129906890.59395599</v>
      </c>
      <c r="AW7" s="4">
        <f ca="1">IFERROR((INDIRECT(ADDRESS(7,33)) - INDIRECT(ADDRESS(7,2)))/ INDIRECT(ADDRESS(7,2)),1)</f>
        <v>-0.73215697357814236</v>
      </c>
    </row>
    <row r="8" spans="1:57" x14ac:dyDescent="0.25">
      <c r="A8" s="1" t="s">
        <v>6</v>
      </c>
      <c r="B8">
        <v>485011285.637694</v>
      </c>
      <c r="C8">
        <v>476627736.76712799</v>
      </c>
      <c r="D8">
        <v>459814671.46596003</v>
      </c>
      <c r="E8">
        <v>440405154.85591</v>
      </c>
      <c r="F8">
        <v>422602685.35251701</v>
      </c>
      <c r="G8">
        <v>401101129.13078201</v>
      </c>
      <c r="H8">
        <v>370339922.99888402</v>
      </c>
      <c r="I8">
        <v>347108842.49642003</v>
      </c>
      <c r="J8">
        <v>323408514.17875701</v>
      </c>
      <c r="K8">
        <v>300068684.45640498</v>
      </c>
      <c r="L8">
        <v>278349692.02127099</v>
      </c>
      <c r="M8">
        <v>260120920.611963</v>
      </c>
      <c r="N8">
        <v>244754108.987268</v>
      </c>
      <c r="O8">
        <v>231769898.723616</v>
      </c>
      <c r="P8">
        <v>220218236.45849201</v>
      </c>
      <c r="Q8">
        <v>207780255.271312</v>
      </c>
      <c r="R8">
        <v>197737837.83064699</v>
      </c>
      <c r="S8">
        <v>190321126.50787801</v>
      </c>
      <c r="T8">
        <v>183103466.93664801</v>
      </c>
      <c r="U8">
        <v>176392269.58362299</v>
      </c>
      <c r="V8">
        <v>171104205.832378</v>
      </c>
      <c r="W8">
        <v>166367100.927524</v>
      </c>
      <c r="X8">
        <v>162670648.47998399</v>
      </c>
      <c r="Y8">
        <v>159228380.109575</v>
      </c>
      <c r="Z8">
        <v>156130145.27394399</v>
      </c>
      <c r="AA8">
        <v>153420864.54288799</v>
      </c>
      <c r="AB8">
        <v>151093942.99309</v>
      </c>
      <c r="AC8">
        <v>149153582.90342399</v>
      </c>
      <c r="AD8">
        <v>147560070.73471501</v>
      </c>
      <c r="AE8">
        <v>146272450.601309</v>
      </c>
      <c r="AF8">
        <v>145229305.864618</v>
      </c>
      <c r="AG8">
        <v>144337342.71927899</v>
      </c>
      <c r="AJ8" s="3" t="str">
        <f ca="1">INDIRECT(ADDRESS(8,1))</f>
        <v>Hybrid</v>
      </c>
      <c r="AK8" s="3">
        <f ca="1">INDIRECT(ADDRESS(8,2))</f>
        <v>485011285.637694</v>
      </c>
      <c r="AL8" s="3">
        <f ca="1">INDIRECT(ADDRESS(8,8))</f>
        <v>370339922.99888402</v>
      </c>
      <c r="AM8" s="4">
        <f ca="1">IFERROR((INDIRECT(ADDRESS(8,8)) - INDIRECT(ADDRESS(8,2)))/ INDIRECT(ADDRESS(8,2)),1)</f>
        <v>-0.23643029767449597</v>
      </c>
      <c r="AN8" s="3">
        <f ca="1">INDIRECT(ADDRESS(8,13))</f>
        <v>260120920.611963</v>
      </c>
      <c r="AO8" s="4">
        <f ca="1">IFERROR((INDIRECT(ADDRESS(8,13)) - INDIRECT(ADDRESS(8,2)))/ INDIRECT(ADDRESS(8,2)),1)</f>
        <v>-0.46368068472890195</v>
      </c>
      <c r="AP8" s="3">
        <f ca="1">INDIRECT(ADDRESS(8,18))</f>
        <v>197737837.83064699</v>
      </c>
      <c r="AQ8" s="4">
        <f ca="1">IFERROR((INDIRECT(ADDRESS(8,18)) - INDIRECT(ADDRESS(8,2)))/ INDIRECT(ADDRESS(8,2)),1)</f>
        <v>-0.59230260473081398</v>
      </c>
      <c r="AR8" s="3">
        <f ca="1">INDIRECT(ADDRESS(8,23))</f>
        <v>166367100.927524</v>
      </c>
      <c r="AS8" s="4">
        <f ca="1">IFERROR((INDIRECT(ADDRESS(8,23)) - INDIRECT(ADDRESS(8,2)))/ INDIRECT(ADDRESS(8,2)),1)</f>
        <v>-0.65698303141795122</v>
      </c>
      <c r="AT8" s="3">
        <f ca="1">INDIRECT(ADDRESS(8,28))</f>
        <v>151093942.99309</v>
      </c>
      <c r="AU8" s="4">
        <f ca="1">IFERROR((INDIRECT(ADDRESS(8,28)) - INDIRECT(ADDRESS(8,2)))/ INDIRECT(ADDRESS(8,2)),1)</f>
        <v>-0.68847334594610232</v>
      </c>
      <c r="AV8" s="3">
        <f ca="1">INDIRECT(ADDRESS(8,33))</f>
        <v>144337342.71927899</v>
      </c>
      <c r="AW8" s="4">
        <f ca="1">IFERROR((INDIRECT(ADDRESS(8,33)) - INDIRECT(ADDRESS(8,2)))/ INDIRECT(ADDRESS(8,2)),1)</f>
        <v>-0.70240415637029163</v>
      </c>
    </row>
    <row r="11" spans="1:57" x14ac:dyDescent="0.25">
      <c r="A11" s="1" t="s">
        <v>0</v>
      </c>
      <c r="B11" s="1" t="s">
        <v>126</v>
      </c>
      <c r="C11" s="1">
        <v>2019</v>
      </c>
      <c r="D11" s="1">
        <v>2020</v>
      </c>
      <c r="E11" s="1">
        <v>2021</v>
      </c>
      <c r="F11" s="1">
        <v>2022</v>
      </c>
      <c r="G11" s="1">
        <v>2023</v>
      </c>
      <c r="H11" s="1">
        <v>2024</v>
      </c>
      <c r="I11" s="1">
        <v>2025</v>
      </c>
      <c r="J11" s="1">
        <v>2026</v>
      </c>
      <c r="K11" s="1">
        <v>2027</v>
      </c>
      <c r="L11" s="1">
        <v>2028</v>
      </c>
      <c r="M11" s="1">
        <v>2029</v>
      </c>
      <c r="N11" s="1">
        <v>2030</v>
      </c>
      <c r="O11" s="1">
        <v>2031</v>
      </c>
      <c r="P11" s="1">
        <v>2032</v>
      </c>
      <c r="Q11" s="1">
        <v>2033</v>
      </c>
      <c r="R11" s="1">
        <v>2034</v>
      </c>
      <c r="S11" s="1">
        <v>2035</v>
      </c>
      <c r="T11" s="1">
        <v>2036</v>
      </c>
      <c r="U11" s="1">
        <v>2037</v>
      </c>
      <c r="V11" s="1">
        <v>2038</v>
      </c>
      <c r="W11" s="1">
        <v>2039</v>
      </c>
      <c r="X11" s="1">
        <v>2040</v>
      </c>
      <c r="Y11" s="1">
        <v>2041</v>
      </c>
      <c r="Z11" s="1">
        <v>2042</v>
      </c>
      <c r="AA11" s="1">
        <v>2043</v>
      </c>
      <c r="AB11" s="1">
        <v>2044</v>
      </c>
      <c r="AC11" s="1">
        <v>2045</v>
      </c>
      <c r="AD11" s="1">
        <v>2046</v>
      </c>
      <c r="AE11" s="1">
        <v>2047</v>
      </c>
      <c r="AF11" s="1">
        <v>2048</v>
      </c>
      <c r="AG11" s="1">
        <v>2049</v>
      </c>
      <c r="AH11" s="1">
        <v>2050</v>
      </c>
      <c r="AL11" s="2">
        <f ca="1">INDIRECT(ADDRESS(11,3))</f>
        <v>2019</v>
      </c>
      <c r="AM11" s="2" t="str">
        <f ca="1">CONCATENATE(INDIRECT(ADDRESS(11,3))," Share")</f>
        <v>2019 Share</v>
      </c>
      <c r="AN11" s="2">
        <f ca="1">INDIRECT(ADDRESS(11,9))</f>
        <v>2025</v>
      </c>
      <c r="AO11" s="2" t="str">
        <f ca="1">CONCATENATE(INDIRECT(ADDRESS(11,9))," Share")</f>
        <v>2025 Share</v>
      </c>
      <c r="AP11" s="2" t="str">
        <f ca="1">CONCATENATE("% change ",INDIRECT(ADDRESS(11,3)),"-",INDIRECT(ADDRESS(11,9)))</f>
        <v>% change 2019-2025</v>
      </c>
      <c r="AQ11" s="2">
        <f ca="1">INDIRECT(ADDRESS(11,14))</f>
        <v>2030</v>
      </c>
      <c r="AR11" s="2" t="str">
        <f ca="1">CONCATENATE(INDIRECT(ADDRESS(11,14))," Share")</f>
        <v>2030 Share</v>
      </c>
      <c r="AS11" s="2" t="str">
        <f ca="1">CONCATENATE("% change ",INDIRECT(ADDRESS(11,3)),"-",INDIRECT(ADDRESS(11,14)))</f>
        <v>% change 2019-2030</v>
      </c>
      <c r="AT11" s="2">
        <f ca="1">INDIRECT(ADDRESS(11,19))</f>
        <v>2035</v>
      </c>
      <c r="AU11" s="2" t="str">
        <f ca="1">CONCATENATE(INDIRECT(ADDRESS(11,19))," Share")</f>
        <v>2035 Share</v>
      </c>
      <c r="AV11" s="2" t="str">
        <f ca="1">CONCATENATE("% change ",INDIRECT(ADDRESS(11,3)),"-",INDIRECT(ADDRESS(11,19)))</f>
        <v>% change 2019-2035</v>
      </c>
      <c r="AW11" s="2">
        <f ca="1">INDIRECT(ADDRESS(11,24))</f>
        <v>2040</v>
      </c>
      <c r="AX11" s="2" t="str">
        <f ca="1">CONCATENATE(INDIRECT(ADDRESS(11,24))," Share")</f>
        <v>2040 Share</v>
      </c>
      <c r="AY11" s="2" t="str">
        <f ca="1">CONCATENATE("% change ",INDIRECT(ADDRESS(11,3)),"-",INDIRECT(ADDRESS(11,24)))</f>
        <v>% change 2019-2040</v>
      </c>
      <c r="AZ11" s="2">
        <f ca="1">INDIRECT(ADDRESS(11,29))</f>
        <v>2045</v>
      </c>
      <c r="BA11" s="2" t="str">
        <f ca="1">CONCATENATE(INDIRECT(ADDRESS(11,29))," Share")</f>
        <v>2045 Share</v>
      </c>
      <c r="BB11" s="2" t="str">
        <f ca="1">CONCATENATE("% change ",INDIRECT(ADDRESS(11,3)),"-",INDIRECT(ADDRESS(11,29)))</f>
        <v>% change 2019-2045</v>
      </c>
      <c r="BC11" s="2">
        <f ca="1">INDIRECT(ADDRESS(11,34))</f>
        <v>2050</v>
      </c>
      <c r="BD11" s="2" t="str">
        <f ca="1">CONCATENATE(INDIRECT(ADDRESS(11,34))," Share")</f>
        <v>2050 Share</v>
      </c>
      <c r="BE11" s="2" t="str">
        <f ca="1">CONCATENATE("% change ",INDIRECT(ADDRESS(11,3)),"-",INDIRECT(ADDRESS(11,34)))</f>
        <v>% change 2019-2050</v>
      </c>
    </row>
    <row r="12" spans="1:57" x14ac:dyDescent="0.25">
      <c r="A12" s="5" t="s">
        <v>5</v>
      </c>
      <c r="B12" s="1" t="s">
        <v>41</v>
      </c>
      <c r="C12">
        <v>139372488.64840001</v>
      </c>
      <c r="D12">
        <v>130275194.69847301</v>
      </c>
      <c r="E12">
        <v>121634593.913798</v>
      </c>
      <c r="F12">
        <v>112766399.472582</v>
      </c>
      <c r="G12">
        <v>104466168.96682</v>
      </c>
      <c r="H12">
        <v>96194376.993059993</v>
      </c>
      <c r="I12">
        <v>88740979.692531005</v>
      </c>
      <c r="J12">
        <v>80612268.43073</v>
      </c>
      <c r="K12">
        <v>72969753.84750399</v>
      </c>
      <c r="L12">
        <v>65554039.903021991</v>
      </c>
      <c r="M12">
        <v>58372006.225368999</v>
      </c>
      <c r="N12">
        <v>51590100.886451997</v>
      </c>
      <c r="O12">
        <v>45133111.003702</v>
      </c>
      <c r="P12">
        <v>39042345.654806003</v>
      </c>
      <c r="Q12">
        <v>33143728.761037</v>
      </c>
      <c r="R12">
        <v>27269421.306823</v>
      </c>
      <c r="S12">
        <v>21820830.514001999</v>
      </c>
      <c r="T12">
        <v>19873907.256296001</v>
      </c>
      <c r="U12">
        <v>17953209.463270001</v>
      </c>
      <c r="V12">
        <v>16107370.059589</v>
      </c>
      <c r="W12">
        <v>14576252.816215999</v>
      </c>
      <c r="X12">
        <v>13133945.39043</v>
      </c>
      <c r="Y12">
        <v>11770935.794918001</v>
      </c>
      <c r="Z12">
        <v>10469353.249453999</v>
      </c>
      <c r="AA12">
        <v>9244346.1025329996</v>
      </c>
      <c r="AB12">
        <v>8098916.5002490003</v>
      </c>
      <c r="AC12">
        <v>7027512.9605249995</v>
      </c>
      <c r="AD12">
        <v>6024690.1716210004</v>
      </c>
      <c r="AE12">
        <v>5082437.9448690005</v>
      </c>
      <c r="AF12">
        <v>4192345.7630969998</v>
      </c>
      <c r="AG12">
        <v>3344277.3094739998</v>
      </c>
      <c r="AH12">
        <v>2526709.4908179999</v>
      </c>
      <c r="AK12" s="3" t="str">
        <f ca="1">INDIRECT(ADDRESS(12,2))</f>
        <v>Diesel</v>
      </c>
      <c r="AL12" s="3">
        <f ca="1">INDIRECT(ADDRESS(12,3))</f>
        <v>139372488.64840001</v>
      </c>
      <c r="AM12" s="4">
        <f ca="1">IFERROR(INDIRECT(ADDRESS(12,3)) / INDIRECT(ADDRESS(18,3)),0)</f>
        <v>0.28735926931092487</v>
      </c>
      <c r="AN12" s="3">
        <f ca="1">INDIRECT(ADDRESS(12,9))</f>
        <v>88740979.692531005</v>
      </c>
      <c r="AO12" s="4">
        <f ca="1">IFERROR(INDIRECT(ADDRESS(12,9)) / INDIRECT(ADDRESS(18,9)),0)</f>
        <v>0.24566596331283611</v>
      </c>
      <c r="AP12" s="4">
        <f ca="1">IFERROR((INDIRECT(ADDRESS(12,9)) - INDIRECT(ADDRESS(12,3)))/ INDIRECT(ADDRESS(12,3)),1)</f>
        <v>-0.36328194643635109</v>
      </c>
      <c r="AQ12" s="3">
        <f ca="1">INDIRECT(ADDRESS(12,14))</f>
        <v>51590100.886451997</v>
      </c>
      <c r="AR12" s="4">
        <f ca="1">IFERROR(INDIRECT(ADDRESS(12,14)) / INDIRECT(ADDRESS(18,14)),0)</f>
        <v>0.20982882137623907</v>
      </c>
      <c r="AS12" s="4">
        <f ca="1">IFERROR((INDIRECT(ADDRESS(12,14)) - INDIRECT(ADDRESS(12,3)))/ INDIRECT(ADDRESS(12,3)),1)</f>
        <v>-0.62984013999635036</v>
      </c>
      <c r="AT12" s="3">
        <f ca="1">INDIRECT(ADDRESS(12,19))</f>
        <v>21820830.514001999</v>
      </c>
      <c r="AU12" s="4">
        <f ca="1">IFERROR(INDIRECT(ADDRESS(12,19)) / INDIRECT(ADDRESS(18,19)),0)</f>
        <v>0.1218952119881211</v>
      </c>
      <c r="AV12" s="4">
        <f ca="1">IFERROR((INDIRECT(ADDRESS(12,19)) - INDIRECT(ADDRESS(12,3)))/ INDIRECT(ADDRESS(12,3)),1)</f>
        <v>-0.84343516625400738</v>
      </c>
      <c r="AW12" s="3">
        <f ca="1">INDIRECT(ADDRESS(12,24))</f>
        <v>13133945.39043</v>
      </c>
      <c r="AX12" s="4">
        <f ca="1">IFERROR(INDIRECT(ADDRESS(12,24)) / INDIRECT(ADDRESS(18,24)),0)</f>
        <v>8.7843799192309988E-2</v>
      </c>
      <c r="AY12" s="4">
        <f ca="1">IFERROR((INDIRECT(ADDRESS(12,24)) - INDIRECT(ADDRESS(12,3)))/ INDIRECT(ADDRESS(12,3)),1)</f>
        <v>-0.90576371622692708</v>
      </c>
      <c r="AZ12" s="3">
        <f ca="1">INDIRECT(ADDRESS(12,29))</f>
        <v>7027512.9605249995</v>
      </c>
      <c r="BA12" s="4">
        <f ca="1">IFERROR(INDIRECT(ADDRESS(12,29)) / INDIRECT(ADDRESS(18,29)),0)</f>
        <v>5.184835642060736E-2</v>
      </c>
      <c r="BB12" s="4">
        <f ca="1">IFERROR((INDIRECT(ADDRESS(12,29)) - INDIRECT(ADDRESS(12,3)))/ INDIRECT(ADDRESS(12,3)),1)</f>
        <v>-0.94957747379934099</v>
      </c>
      <c r="BC12" s="3">
        <f ca="1">INDIRECT(ADDRESS(12,34))</f>
        <v>2526709.4908179999</v>
      </c>
      <c r="BD12" s="4">
        <f ca="1">IFERROR(INDIRECT(ADDRESS(12,34)) / INDIRECT(ADDRESS(18,34)),0)</f>
        <v>1.9450157564894842E-2</v>
      </c>
      <c r="BE12" s="4">
        <f ca="1">IFERROR((INDIRECT(ADDRESS(12,34)) - INDIRECT(ADDRESS(12,3)))/ INDIRECT(ADDRESS(12,3)),1)</f>
        <v>-0.98187081600306203</v>
      </c>
    </row>
    <row r="13" spans="1:57" x14ac:dyDescent="0.25">
      <c r="A13" s="5"/>
      <c r="B13" s="1" t="s">
        <v>127</v>
      </c>
      <c r="C13">
        <v>344926069.060785</v>
      </c>
      <c r="D13">
        <v>344177301.59786898</v>
      </c>
      <c r="E13">
        <v>329323043.29132402</v>
      </c>
      <c r="F13">
        <v>312288495.639884</v>
      </c>
      <c r="G13">
        <v>296353569.241988</v>
      </c>
      <c r="H13">
        <v>276729577.24340397</v>
      </c>
      <c r="I13">
        <v>246714807.13697201</v>
      </c>
      <c r="J13">
        <v>225111804.531115</v>
      </c>
      <c r="K13">
        <v>202024370.16709301</v>
      </c>
      <c r="L13">
        <v>178511683.472978</v>
      </c>
      <c r="M13">
        <v>156075308.38494501</v>
      </c>
      <c r="N13">
        <v>136612471.154771</v>
      </c>
      <c r="O13">
        <v>120095479.678232</v>
      </c>
      <c r="P13">
        <v>105835415.455843</v>
      </c>
      <c r="Q13">
        <v>92930430.476091012</v>
      </c>
      <c r="R13">
        <v>78802111.378447995</v>
      </c>
      <c r="S13">
        <v>66993615.737668999</v>
      </c>
      <c r="T13">
        <v>58494174.434138</v>
      </c>
      <c r="U13">
        <v>50048764.249352999</v>
      </c>
      <c r="V13">
        <v>42094830.079347</v>
      </c>
      <c r="W13">
        <v>35416686.180210002</v>
      </c>
      <c r="X13">
        <v>29467152.461201001</v>
      </c>
      <c r="Y13">
        <v>24157507.789143</v>
      </c>
      <c r="Z13">
        <v>19328196.480292998</v>
      </c>
      <c r="AA13">
        <v>15116046.224835999</v>
      </c>
      <c r="AB13">
        <v>11550025.233315</v>
      </c>
      <c r="AC13">
        <v>8584650.0786160007</v>
      </c>
      <c r="AD13">
        <v>6165961.160805</v>
      </c>
      <c r="AE13">
        <v>4237493.0143820001</v>
      </c>
      <c r="AF13">
        <v>2724187.3789220001</v>
      </c>
      <c r="AG13">
        <v>1535964.4416720001</v>
      </c>
      <c r="AH13">
        <v>571681.38215900003</v>
      </c>
      <c r="AK13" s="3" t="str">
        <f ca="1">INDIRECT(ADDRESS(13,2))</f>
        <v>Gas</v>
      </c>
      <c r="AL13" s="3">
        <f ca="1">INDIRECT(ADDRESS(13,3))</f>
        <v>344926069.060785</v>
      </c>
      <c r="AM13" s="4">
        <f ca="1">IFERROR(INDIRECT(ADDRESS(13,3)) / INDIRECT(ADDRESS(18,3)),0)</f>
        <v>0.7111712227629412</v>
      </c>
      <c r="AN13" s="3">
        <f ca="1">INDIRECT(ADDRESS(13,9))</f>
        <v>246714807.13697201</v>
      </c>
      <c r="AO13" s="4">
        <f ca="1">IFERROR(INDIRECT(ADDRESS(13,9)) / INDIRECT(ADDRESS(18,9)),0)</f>
        <v>0.6829925809794285</v>
      </c>
      <c r="AP13" s="4">
        <f ca="1">IFERROR((INDIRECT(ADDRESS(13,9)) - INDIRECT(ADDRESS(13,3)))/ INDIRECT(ADDRESS(13,3)),1)</f>
        <v>-0.28473134022962349</v>
      </c>
      <c r="AQ13" s="3">
        <f ca="1">INDIRECT(ADDRESS(13,14))</f>
        <v>136612471.154771</v>
      </c>
      <c r="AR13" s="4">
        <f ca="1">IFERROR(INDIRECT(ADDRESS(13,14)) / INDIRECT(ADDRESS(18,14)),0)</f>
        <v>0.55563438169644652</v>
      </c>
      <c r="AS13" s="4">
        <f ca="1">IFERROR((INDIRECT(ADDRESS(13,14)) - INDIRECT(ADDRESS(13,3)))/ INDIRECT(ADDRESS(13,3)),1)</f>
        <v>-0.60393694936784759</v>
      </c>
      <c r="AT13" s="3">
        <f ca="1">INDIRECT(ADDRESS(13,19))</f>
        <v>66993615.737668999</v>
      </c>
      <c r="AU13" s="4">
        <f ca="1">IFERROR(INDIRECT(ADDRESS(13,19)) / INDIRECT(ADDRESS(18,19)),0)</f>
        <v>0.37423878009380979</v>
      </c>
      <c r="AV13" s="4">
        <f ca="1">IFERROR((INDIRECT(ADDRESS(13,19)) - INDIRECT(ADDRESS(13,3)))/ INDIRECT(ADDRESS(13,3)),1)</f>
        <v>-0.80577398536419997</v>
      </c>
      <c r="AW13" s="3">
        <f ca="1">INDIRECT(ADDRESS(13,24))</f>
        <v>29467152.461201001</v>
      </c>
      <c r="AX13" s="4">
        <f ca="1">IFERROR(INDIRECT(ADDRESS(13,24)) / INDIRECT(ADDRESS(18,24)),0)</f>
        <v>0.19708522813388804</v>
      </c>
      <c r="AY13" s="4">
        <f ca="1">IFERROR((INDIRECT(ADDRESS(13,24)) - INDIRECT(ADDRESS(13,3)))/ INDIRECT(ADDRESS(13,3)),1)</f>
        <v>-0.91456965679213964</v>
      </c>
      <c r="AZ13" s="3">
        <f ca="1">INDIRECT(ADDRESS(13,29))</f>
        <v>8584650.0786160007</v>
      </c>
      <c r="BA13" s="4">
        <f ca="1">IFERROR(INDIRECT(ADDRESS(13,29)) / INDIRECT(ADDRESS(18,29)),0)</f>
        <v>6.3336773553104284E-2</v>
      </c>
      <c r="BB13" s="4">
        <f ca="1">IFERROR((INDIRECT(ADDRESS(13,29)) - INDIRECT(ADDRESS(13,3)))/ INDIRECT(ADDRESS(13,3)),1)</f>
        <v>-0.97511162289938957</v>
      </c>
      <c r="BC13" s="3">
        <f ca="1">INDIRECT(ADDRESS(13,34))</f>
        <v>571681.38215900003</v>
      </c>
      <c r="BD13" s="4">
        <f ca="1">IFERROR(INDIRECT(ADDRESS(13,34)) / INDIRECT(ADDRESS(18,34)),0)</f>
        <v>4.4007009908802932E-3</v>
      </c>
      <c r="BE13" s="4">
        <f ca="1">IFERROR((INDIRECT(ADDRESS(13,34)) - INDIRECT(ADDRESS(13,3)))/ INDIRECT(ADDRESS(13,3)),1)</f>
        <v>-0.99834259734639463</v>
      </c>
    </row>
    <row r="14" spans="1:57" x14ac:dyDescent="0.25">
      <c r="A14" s="5"/>
      <c r="B14" s="1" t="s">
        <v>44</v>
      </c>
      <c r="C14">
        <v>11510.165392000001</v>
      </c>
      <c r="D14">
        <v>29605.440417000002</v>
      </c>
      <c r="E14">
        <v>188179.692625</v>
      </c>
      <c r="F14">
        <v>469399.90859800001</v>
      </c>
      <c r="G14">
        <v>757406.69432100002</v>
      </c>
      <c r="H14">
        <v>1024056.474742</v>
      </c>
      <c r="I14">
        <v>3920626.2692979998</v>
      </c>
      <c r="J14">
        <v>4644176.164167</v>
      </c>
      <c r="K14">
        <v>5480344.9565900005</v>
      </c>
      <c r="L14">
        <v>6425132.7014340004</v>
      </c>
      <c r="M14">
        <v>7521328.2641129997</v>
      </c>
      <c r="N14">
        <v>9593804.1107430011</v>
      </c>
      <c r="O14">
        <v>10597178.031695999</v>
      </c>
      <c r="P14">
        <v>11408033.328473</v>
      </c>
      <c r="Q14">
        <v>12024530.989305001</v>
      </c>
      <c r="R14">
        <v>12483674.695002001</v>
      </c>
      <c r="S14">
        <v>12855637.702199999</v>
      </c>
      <c r="T14">
        <v>13260975.881277001</v>
      </c>
      <c r="U14">
        <v>13522779.060777999</v>
      </c>
      <c r="V14">
        <v>13525910.444252999</v>
      </c>
      <c r="W14">
        <v>13155093.611168999</v>
      </c>
      <c r="X14">
        <v>12575756.951571001</v>
      </c>
      <c r="Y14">
        <v>13870623.109153001</v>
      </c>
      <c r="Z14">
        <v>15242041.317212</v>
      </c>
      <c r="AA14">
        <v>16535109.427510999</v>
      </c>
      <c r="AB14">
        <v>17689842.374171</v>
      </c>
      <c r="AC14">
        <v>19413143.141139999</v>
      </c>
      <c r="AD14">
        <v>20435888.301394001</v>
      </c>
      <c r="AE14">
        <v>21364589.753240999</v>
      </c>
      <c r="AF14">
        <v>22215774.475093</v>
      </c>
      <c r="AG14">
        <v>22921902.643599998</v>
      </c>
      <c r="AH14">
        <v>23771058.417523999</v>
      </c>
      <c r="AK14" s="3" t="str">
        <f ca="1">INDIRECT(ADDRESS(14,2))</f>
        <v>Grid Electricity</v>
      </c>
      <c r="AL14" s="3">
        <f ca="1">INDIRECT(ADDRESS(14,3))</f>
        <v>11510.165392000001</v>
      </c>
      <c r="AM14" s="4">
        <f ca="1">IFERROR(INDIRECT(ADDRESS(14,3)) / INDIRECT(ADDRESS(18,3)),0)</f>
        <v>2.373174755483557E-5</v>
      </c>
      <c r="AN14" s="3">
        <f ca="1">INDIRECT(ADDRESS(14,9))</f>
        <v>3920626.2692979998</v>
      </c>
      <c r="AO14" s="4">
        <f ca="1">IFERROR(INDIRECT(ADDRESS(14,9)) / INDIRECT(ADDRESS(18,9)),0)</f>
        <v>1.0853660085496777E-2</v>
      </c>
      <c r="AP14" s="4">
        <f ca="1">IFERROR((INDIRECT(ADDRESS(14,9)) - INDIRECT(ADDRESS(14,3)))/ INDIRECT(ADDRESS(14,3)),1)</f>
        <v>339.62293075501617</v>
      </c>
      <c r="AQ14" s="3">
        <f ca="1">INDIRECT(ADDRESS(14,14))</f>
        <v>9593804.1107430011</v>
      </c>
      <c r="AR14" s="4">
        <f ca="1">IFERROR(INDIRECT(ADDRESS(14,14)) / INDIRECT(ADDRESS(18,14)),0)</f>
        <v>3.902021074745305E-2</v>
      </c>
      <c r="AS14" s="4">
        <f ca="1">IFERROR((INDIRECT(ADDRESS(14,14)) - INDIRECT(ADDRESS(14,3)))/ INDIRECT(ADDRESS(14,3)),1)</f>
        <v>832.50705954330215</v>
      </c>
      <c r="AT14" s="3">
        <f ca="1">INDIRECT(ADDRESS(14,19))</f>
        <v>12855637.702199999</v>
      </c>
      <c r="AU14" s="4">
        <f ca="1">IFERROR(INDIRECT(ADDRESS(14,19)) / INDIRECT(ADDRESS(18,19)),0)</f>
        <v>7.181397985501109E-2</v>
      </c>
      <c r="AV14" s="4">
        <f ca="1">IFERROR((INDIRECT(ADDRESS(14,19)) - INDIRECT(ADDRESS(14,3)))/ INDIRECT(ADDRESS(14,3)),1)</f>
        <v>1115.8942638422166</v>
      </c>
      <c r="AW14" s="3">
        <f ca="1">INDIRECT(ADDRESS(14,24))</f>
        <v>12575756.951571001</v>
      </c>
      <c r="AX14" s="4">
        <f ca="1">IFERROR(INDIRECT(ADDRESS(14,24)) / INDIRECT(ADDRESS(18,24)),0)</f>
        <v>8.4110466086606134E-2</v>
      </c>
      <c r="AY14" s="4">
        <f ca="1">IFERROR((INDIRECT(ADDRESS(14,24)) - INDIRECT(ADDRESS(14,3)))/ INDIRECT(ADDRESS(14,3)),1)</f>
        <v>1091.5783012911027</v>
      </c>
      <c r="AZ14" s="3">
        <f ca="1">INDIRECT(ADDRESS(14,29))</f>
        <v>19413143.141139999</v>
      </c>
      <c r="BA14" s="4">
        <f ca="1">IFERROR(INDIRECT(ADDRESS(14,29)) / INDIRECT(ADDRESS(18,29)),0)</f>
        <v>0.14322841814451823</v>
      </c>
      <c r="BB14" s="4">
        <f ca="1">IFERROR((INDIRECT(ADDRESS(14,29)) - INDIRECT(ADDRESS(14,3)))/ INDIRECT(ADDRESS(14,3)),1)</f>
        <v>1685.608530806418</v>
      </c>
      <c r="BC14" s="3">
        <f ca="1">INDIRECT(ADDRESS(14,34))</f>
        <v>23771058.417523999</v>
      </c>
      <c r="BD14" s="4">
        <f ca="1">IFERROR(INDIRECT(ADDRESS(14,34)) / INDIRECT(ADDRESS(18,34)),0)</f>
        <v>0.18298535442453245</v>
      </c>
      <c r="BE14" s="4">
        <f ca="1">IFERROR((INDIRECT(ADDRESS(14,34)) - INDIRECT(ADDRESS(14,3)))/ INDIRECT(ADDRESS(14,3)),1)</f>
        <v>2064.223010092086</v>
      </c>
    </row>
    <row r="15" spans="1:57" x14ac:dyDescent="0.25">
      <c r="A15" s="5"/>
      <c r="B15" s="1" t="s">
        <v>102</v>
      </c>
      <c r="C15">
        <v>0</v>
      </c>
      <c r="D15">
        <v>366293.145945</v>
      </c>
      <c r="E15">
        <v>927074.00436799997</v>
      </c>
      <c r="F15">
        <v>1469736.2503219999</v>
      </c>
      <c r="G15">
        <v>1994254.8067089999</v>
      </c>
      <c r="H15">
        <v>2500813.5324280001</v>
      </c>
      <c r="I15">
        <v>2992078.8531780001</v>
      </c>
      <c r="J15">
        <v>3453147.3636909998</v>
      </c>
      <c r="K15">
        <v>3895037.691259</v>
      </c>
      <c r="L15">
        <v>4325955.4873900004</v>
      </c>
      <c r="M15">
        <v>4749122.4440259999</v>
      </c>
      <c r="N15">
        <v>5168733.2407130003</v>
      </c>
      <c r="O15">
        <v>5582935.167138</v>
      </c>
      <c r="P15">
        <v>5997236.2243529996</v>
      </c>
      <c r="Q15">
        <v>6411973.4528660001</v>
      </c>
      <c r="R15">
        <v>6826991.1764700003</v>
      </c>
      <c r="S15">
        <v>7242125.2247710004</v>
      </c>
      <c r="T15">
        <v>7657206.6069719996</v>
      </c>
      <c r="U15">
        <v>8072596.247529</v>
      </c>
      <c r="V15">
        <v>8488408.1981310006</v>
      </c>
      <c r="W15">
        <v>8904597.3134579994</v>
      </c>
      <c r="X15">
        <v>9321031.6950020008</v>
      </c>
      <c r="Y15">
        <v>9732203.9179490004</v>
      </c>
      <c r="Z15">
        <v>10142468.088505</v>
      </c>
      <c r="AA15">
        <v>10551471.035126001</v>
      </c>
      <c r="AB15">
        <v>10958713.641597999</v>
      </c>
      <c r="AC15">
        <v>11363686.346863</v>
      </c>
      <c r="AD15">
        <v>11770239.674175</v>
      </c>
      <c r="AE15">
        <v>12174036.453500999</v>
      </c>
      <c r="AF15">
        <v>12574871.740552999</v>
      </c>
      <c r="AG15">
        <v>12972630.565293999</v>
      </c>
      <c r="AH15">
        <v>13367250.44633</v>
      </c>
      <c r="AK15" s="3" t="str">
        <f ca="1">INDIRECT(ADDRESS(15,2))</f>
        <v>Hydrogen</v>
      </c>
      <c r="AL15" s="3">
        <f ca="1">INDIRECT(ADDRESS(15,3))</f>
        <v>0</v>
      </c>
      <c r="AM15" s="4">
        <f ca="1">IFERROR(INDIRECT(ADDRESS(15,3)) / INDIRECT(ADDRESS(18,3)),0)</f>
        <v>0</v>
      </c>
      <c r="AN15" s="3">
        <f ca="1">INDIRECT(ADDRESS(15,9))</f>
        <v>2992078.8531780001</v>
      </c>
      <c r="AO15" s="4">
        <f ca="1">IFERROR(INDIRECT(ADDRESS(15,9)) / INDIRECT(ADDRESS(18,9)),0)</f>
        <v>8.2831171835237912E-3</v>
      </c>
      <c r="AP15" s="4">
        <f ca="1">IFERROR((INDIRECT(ADDRESS(15,9)) - INDIRECT(ADDRESS(15,3)))/ INDIRECT(ADDRESS(15,3)),1)</f>
        <v>1</v>
      </c>
      <c r="AQ15" s="3">
        <f ca="1">INDIRECT(ADDRESS(15,14))</f>
        <v>5168733.2407130003</v>
      </c>
      <c r="AR15" s="4">
        <f ca="1">IFERROR(INDIRECT(ADDRESS(15,14)) / INDIRECT(ADDRESS(18,14)),0)</f>
        <v>2.1022428436301224E-2</v>
      </c>
      <c r="AS15" s="4">
        <f ca="1">IFERROR((INDIRECT(ADDRESS(15,14)) - INDIRECT(ADDRESS(15,3)))/ INDIRECT(ADDRESS(15,3)),1)</f>
        <v>1</v>
      </c>
      <c r="AT15" s="3">
        <f ca="1">INDIRECT(ADDRESS(15,19))</f>
        <v>7242125.2247710004</v>
      </c>
      <c r="AU15" s="4">
        <f ca="1">IFERROR(INDIRECT(ADDRESS(15,19)) / INDIRECT(ADDRESS(18,19)),0)</f>
        <v>4.0455856570239958E-2</v>
      </c>
      <c r="AV15" s="4">
        <f ca="1">IFERROR((INDIRECT(ADDRESS(15,19)) - INDIRECT(ADDRESS(15,3)))/ INDIRECT(ADDRESS(15,3)),1)</f>
        <v>1</v>
      </c>
      <c r="AW15" s="3">
        <f ca="1">INDIRECT(ADDRESS(15,24))</f>
        <v>9321031.6950020008</v>
      </c>
      <c r="AX15" s="4">
        <f ca="1">IFERROR(INDIRECT(ADDRESS(15,24)) / INDIRECT(ADDRESS(18,24)),0)</f>
        <v>6.2341879164316029E-2</v>
      </c>
      <c r="AY15" s="4">
        <f ca="1">IFERROR((INDIRECT(ADDRESS(15,24)) - INDIRECT(ADDRESS(15,3)))/ INDIRECT(ADDRESS(15,3)),1)</f>
        <v>1</v>
      </c>
      <c r="AZ15" s="3">
        <f ca="1">INDIRECT(ADDRESS(15,29))</f>
        <v>11363686.346863</v>
      </c>
      <c r="BA15" s="4">
        <f ca="1">IFERROR(INDIRECT(ADDRESS(15,29)) / INDIRECT(ADDRESS(18,29)),0)</f>
        <v>8.3840252344426311E-2</v>
      </c>
      <c r="BB15" s="4">
        <f ca="1">IFERROR((INDIRECT(ADDRESS(15,29)) - INDIRECT(ADDRESS(15,3)))/ INDIRECT(ADDRESS(15,3)),1)</f>
        <v>1</v>
      </c>
      <c r="BC15" s="3">
        <f ca="1">INDIRECT(ADDRESS(15,34))</f>
        <v>13367250.44633</v>
      </c>
      <c r="BD15" s="4">
        <f ca="1">IFERROR(INDIRECT(ADDRESS(15,34)) / INDIRECT(ADDRESS(18,34)),0)</f>
        <v>0.10289870217978969</v>
      </c>
      <c r="BE15" s="4">
        <f ca="1">IFERROR((INDIRECT(ADDRESS(15,34)) - INDIRECT(ADDRESS(15,3)))/ INDIRECT(ADDRESS(15,3)),1)</f>
        <v>1</v>
      </c>
    </row>
    <row r="16" spans="1:57" x14ac:dyDescent="0.25">
      <c r="A16" s="5"/>
      <c r="B16" s="1" t="s">
        <v>103</v>
      </c>
      <c r="C16">
        <v>521179.24215300003</v>
      </c>
      <c r="D16">
        <v>1455909.2343820001</v>
      </c>
      <c r="E16">
        <v>5265597.5929840002</v>
      </c>
      <c r="F16">
        <v>8964839.5765799992</v>
      </c>
      <c r="G16">
        <v>12796858.79136</v>
      </c>
      <c r="H16">
        <v>16809687.117376</v>
      </c>
      <c r="I16">
        <v>18677658.519003</v>
      </c>
      <c r="J16">
        <v>22741698.658481002</v>
      </c>
      <c r="K16">
        <v>27407051.249435</v>
      </c>
      <c r="L16">
        <v>32630057.223756999</v>
      </c>
      <c r="M16">
        <v>38088317.494319998</v>
      </c>
      <c r="N16">
        <v>42722414.740902998</v>
      </c>
      <c r="O16">
        <v>48039507.282825999</v>
      </c>
      <c r="P16">
        <v>53300192.592930987</v>
      </c>
      <c r="Q16">
        <v>58627415.058599003</v>
      </c>
      <c r="R16">
        <v>64411724.802005</v>
      </c>
      <c r="S16">
        <v>69920776.340489</v>
      </c>
      <c r="T16">
        <v>72585456.298823997</v>
      </c>
      <c r="U16">
        <v>75465975.129573002</v>
      </c>
      <c r="V16">
        <v>78504465.73206</v>
      </c>
      <c r="W16">
        <v>81714464.190413997</v>
      </c>
      <c r="X16">
        <v>84836844.505733997</v>
      </c>
      <c r="Y16">
        <v>86396636.411140993</v>
      </c>
      <c r="Z16">
        <v>87574165.147376999</v>
      </c>
      <c r="AA16">
        <v>88466550.143088996</v>
      </c>
      <c r="AB16">
        <v>89151480.571727991</v>
      </c>
      <c r="AC16">
        <v>88970713.037818</v>
      </c>
      <c r="AD16">
        <v>89250336.824374005</v>
      </c>
      <c r="AE16">
        <v>89420576.353080988</v>
      </c>
      <c r="AF16">
        <v>89508609.714388996</v>
      </c>
      <c r="AG16">
        <v>89621301.755892009</v>
      </c>
      <c r="AH16">
        <v>89490152.336160988</v>
      </c>
      <c r="AK16" s="3" t="str">
        <f ca="1">INDIRECT(ADDRESS(16,2))</f>
        <v>Local Electricity</v>
      </c>
      <c r="AL16" s="3">
        <f ca="1">INDIRECT(ADDRESS(16,3))</f>
        <v>521179.24215300003</v>
      </c>
      <c r="AM16" s="4">
        <f ca="1">IFERROR(INDIRECT(ADDRESS(16,3)) / INDIRECT(ADDRESS(18,3)),0)</f>
        <v>1.0745713709893415E-3</v>
      </c>
      <c r="AN16" s="3">
        <f ca="1">INDIRECT(ADDRESS(16,9))</f>
        <v>18677658.519003</v>
      </c>
      <c r="AO16" s="4">
        <f ca="1">IFERROR(INDIRECT(ADDRESS(16,9)) / INDIRECT(ADDRESS(18,9)),0)</f>
        <v>5.1706269058524559E-2</v>
      </c>
      <c r="AP16" s="4">
        <f ca="1">IFERROR((INDIRECT(ADDRESS(16,9)) - INDIRECT(ADDRESS(16,3)))/ INDIRECT(ADDRESS(16,3)),1)</f>
        <v>34.837303193130417</v>
      </c>
      <c r="AQ16" s="3">
        <f ca="1">INDIRECT(ADDRESS(16,14))</f>
        <v>42722414.740902998</v>
      </c>
      <c r="AR16" s="4">
        <f ca="1">IFERROR(INDIRECT(ADDRESS(16,14)) / INDIRECT(ADDRESS(18,14)),0)</f>
        <v>0.173761899616379</v>
      </c>
      <c r="AS16" s="4">
        <f ca="1">IFERROR((INDIRECT(ADDRESS(16,14)) - INDIRECT(ADDRESS(16,3)))/ INDIRECT(ADDRESS(16,3)),1)</f>
        <v>80.972594619110311</v>
      </c>
      <c r="AT16" s="3">
        <f ca="1">INDIRECT(ADDRESS(16,19))</f>
        <v>69920776.340489</v>
      </c>
      <c r="AU16" s="4">
        <f ca="1">IFERROR(INDIRECT(ADDRESS(16,19)) / INDIRECT(ADDRESS(18,19)),0)</f>
        <v>0.39059044287653771</v>
      </c>
      <c r="AV16" s="4">
        <f ca="1">IFERROR((INDIRECT(ADDRESS(16,19)) - INDIRECT(ADDRESS(16,3)))/ INDIRECT(ADDRESS(16,3)),1)</f>
        <v>133.15878969324473</v>
      </c>
      <c r="AW16" s="3">
        <f ca="1">INDIRECT(ADDRESS(16,24))</f>
        <v>84836844.505733997</v>
      </c>
      <c r="AX16" s="4">
        <f ca="1">IFERROR(INDIRECT(ADDRESS(16,24)) / INDIRECT(ADDRESS(18,24)),0)</f>
        <v>0.5674144753412087</v>
      </c>
      <c r="AY16" s="4">
        <f ca="1">IFERROR((INDIRECT(ADDRESS(16,24)) - INDIRECT(ADDRESS(16,3)))/ INDIRECT(ADDRESS(16,3)),1)</f>
        <v>161.77863284667976</v>
      </c>
      <c r="AZ16" s="3">
        <f ca="1">INDIRECT(ADDRESS(16,29))</f>
        <v>88970713.037818</v>
      </c>
      <c r="BA16" s="4">
        <f ca="1">IFERROR(INDIRECT(ADDRESS(16,29)) / INDIRECT(ADDRESS(18,29)),0)</f>
        <v>0.65641789157735642</v>
      </c>
      <c r="BB16" s="4">
        <f ca="1">IFERROR((INDIRECT(ADDRESS(16,29)) - INDIRECT(ADDRESS(16,3)))/ INDIRECT(ADDRESS(16,3)),1)</f>
        <v>169.71039259023155</v>
      </c>
      <c r="BC16" s="3">
        <f ca="1">INDIRECT(ADDRESS(16,34))</f>
        <v>89490152.336160988</v>
      </c>
      <c r="BD16" s="4">
        <f ca="1">IFERROR(INDIRECT(ADDRESS(16,34)) / INDIRECT(ADDRESS(18,34)),0)</f>
        <v>0.68887918051919395</v>
      </c>
      <c r="BE16" s="4">
        <f ca="1">IFERROR((INDIRECT(ADDRESS(16,34)) - INDIRECT(ADDRESS(16,3)))/ INDIRECT(ADDRESS(16,3)),1)</f>
        <v>170.70705411534752</v>
      </c>
    </row>
    <row r="17" spans="1:57" x14ac:dyDescent="0.25">
      <c r="A17" s="5"/>
      <c r="B17" s="1" t="s">
        <v>46</v>
      </c>
      <c r="C17">
        <v>180038.520964</v>
      </c>
      <c r="D17">
        <v>180038.520964</v>
      </c>
      <c r="E17">
        <v>180038.520964</v>
      </c>
      <c r="F17">
        <v>180038.520964</v>
      </c>
      <c r="G17">
        <v>180038.520964</v>
      </c>
      <c r="H17">
        <v>180038.520964</v>
      </c>
      <c r="I17">
        <v>180038.520964</v>
      </c>
      <c r="J17">
        <v>180038.520964</v>
      </c>
      <c r="K17">
        <v>180038.520964</v>
      </c>
      <c r="L17">
        <v>180038.520964</v>
      </c>
      <c r="M17">
        <v>180038.520964</v>
      </c>
      <c r="N17">
        <v>180038.520964</v>
      </c>
      <c r="O17">
        <v>180038.520964</v>
      </c>
      <c r="P17">
        <v>180038.520964</v>
      </c>
      <c r="Q17">
        <v>180038.520964</v>
      </c>
      <c r="R17">
        <v>180038.520964</v>
      </c>
      <c r="S17">
        <v>180038.520964</v>
      </c>
      <c r="T17">
        <v>180038.520964</v>
      </c>
      <c r="U17">
        <v>180038.520964</v>
      </c>
      <c r="V17">
        <v>180038.520964</v>
      </c>
      <c r="W17">
        <v>180038.520964</v>
      </c>
      <c r="X17">
        <v>180038.520964</v>
      </c>
      <c r="Y17">
        <v>180038.520964</v>
      </c>
      <c r="Z17">
        <v>180038.520964</v>
      </c>
      <c r="AA17">
        <v>180038.520964</v>
      </c>
      <c r="AB17">
        <v>180038.520964</v>
      </c>
      <c r="AC17">
        <v>180038.520964</v>
      </c>
      <c r="AD17">
        <v>180038.520964</v>
      </c>
      <c r="AE17">
        <v>180038.520964</v>
      </c>
      <c r="AF17">
        <v>180038.520964</v>
      </c>
      <c r="AG17">
        <v>180038.520964</v>
      </c>
      <c r="AH17">
        <v>180038.520964</v>
      </c>
      <c r="AK17" s="3" t="str">
        <f ca="1">INDIRECT(ADDRESS(17,2))</f>
        <v>Natural Gas</v>
      </c>
      <c r="AL17" s="3">
        <f ca="1">INDIRECT(ADDRESS(17,3))</f>
        <v>180038.520964</v>
      </c>
      <c r="AM17" s="4">
        <f ca="1">IFERROR(INDIRECT(ADDRESS(17,3)) / INDIRECT(ADDRESS(18,3)),0)</f>
        <v>3.7120480758975519E-4</v>
      </c>
      <c r="AN17" s="3">
        <f ca="1">INDIRECT(ADDRESS(17,9))</f>
        <v>180038.520964</v>
      </c>
      <c r="AO17" s="4">
        <f ca="1">IFERROR(INDIRECT(ADDRESS(17,9)) / INDIRECT(ADDRESS(18,9)),0)</f>
        <v>4.9840938019035544E-4</v>
      </c>
      <c r="AP17" s="4">
        <f ca="1">IFERROR((INDIRECT(ADDRESS(17,9)) - INDIRECT(ADDRESS(17,3)))/ INDIRECT(ADDRESS(17,3)),1)</f>
        <v>0</v>
      </c>
      <c r="AQ17" s="3">
        <f ca="1">INDIRECT(ADDRESS(17,14))</f>
        <v>180038.520964</v>
      </c>
      <c r="AR17" s="4">
        <f ca="1">IFERROR(INDIRECT(ADDRESS(17,14)) / INDIRECT(ADDRESS(18,14)),0)</f>
        <v>7.3225812718110154E-4</v>
      </c>
      <c r="AS17" s="4">
        <f ca="1">IFERROR((INDIRECT(ADDRESS(17,14)) - INDIRECT(ADDRESS(17,3)))/ INDIRECT(ADDRESS(17,3)),1)</f>
        <v>0</v>
      </c>
      <c r="AT17" s="3">
        <f ca="1">INDIRECT(ADDRESS(17,19))</f>
        <v>180038.520964</v>
      </c>
      <c r="AU17" s="4">
        <f ca="1">IFERROR(INDIRECT(ADDRESS(17,19)) / INDIRECT(ADDRESS(18,19)),0)</f>
        <v>1.0057286162803178E-3</v>
      </c>
      <c r="AV17" s="4">
        <f ca="1">IFERROR((INDIRECT(ADDRESS(17,19)) - INDIRECT(ADDRESS(17,3)))/ INDIRECT(ADDRESS(17,3)),1)</f>
        <v>0</v>
      </c>
      <c r="AW17" s="3">
        <f ca="1">INDIRECT(ADDRESS(17,24))</f>
        <v>180038.520964</v>
      </c>
      <c r="AX17" s="4">
        <f ca="1">IFERROR(INDIRECT(ADDRESS(17,24)) / INDIRECT(ADDRESS(18,24)),0)</f>
        <v>1.2041520816711971E-3</v>
      </c>
      <c r="AY17" s="4">
        <f ca="1">IFERROR((INDIRECT(ADDRESS(17,24)) - INDIRECT(ADDRESS(17,3)))/ INDIRECT(ADDRESS(17,3)),1)</f>
        <v>0</v>
      </c>
      <c r="AZ17" s="3">
        <f ca="1">INDIRECT(ADDRESS(17,29))</f>
        <v>180038.520964</v>
      </c>
      <c r="BA17" s="4">
        <f ca="1">IFERROR(INDIRECT(ADDRESS(17,29)) / INDIRECT(ADDRESS(18,29)),0)</f>
        <v>1.3283079599874692E-3</v>
      </c>
      <c r="BB17" s="4">
        <f ca="1">IFERROR((INDIRECT(ADDRESS(17,29)) - INDIRECT(ADDRESS(17,3)))/ INDIRECT(ADDRESS(17,3)),1)</f>
        <v>0</v>
      </c>
      <c r="BC17" s="3">
        <f ca="1">INDIRECT(ADDRESS(17,34))</f>
        <v>180038.520964</v>
      </c>
      <c r="BD17" s="4">
        <f ca="1">IFERROR(INDIRECT(ADDRESS(17,34)) / INDIRECT(ADDRESS(18,34)),0)</f>
        <v>1.3859043207087309E-3</v>
      </c>
      <c r="BE17" s="4">
        <f ca="1">IFERROR((INDIRECT(ADDRESS(17,34)) - INDIRECT(ADDRESS(17,3)))/ INDIRECT(ADDRESS(17,3)),1)</f>
        <v>0</v>
      </c>
    </row>
    <row r="18" spans="1:57" x14ac:dyDescent="0.25">
      <c r="A18" s="1" t="s">
        <v>21</v>
      </c>
      <c r="B18" s="1"/>
      <c r="C18">
        <v>485011285.637694</v>
      </c>
      <c r="D18">
        <v>476484342.63805002</v>
      </c>
      <c r="E18">
        <v>457518527.01606297</v>
      </c>
      <c r="F18">
        <v>436138909.36892998</v>
      </c>
      <c r="G18">
        <v>416548297.02216202</v>
      </c>
      <c r="H18">
        <v>393438549.88197398</v>
      </c>
      <c r="I18">
        <v>361226188.99194598</v>
      </c>
      <c r="J18">
        <v>336743133.66914803</v>
      </c>
      <c r="K18">
        <v>311956596.43284512</v>
      </c>
      <c r="L18">
        <v>287626907.30954498</v>
      </c>
      <c r="M18">
        <v>264986121.33373699</v>
      </c>
      <c r="N18">
        <v>245867562.65454599</v>
      </c>
      <c r="O18">
        <v>229628249.684558</v>
      </c>
      <c r="P18">
        <v>215763261.77737001</v>
      </c>
      <c r="Q18">
        <v>203318117.25886199</v>
      </c>
      <c r="R18">
        <v>189973961.87971199</v>
      </c>
      <c r="S18">
        <v>179013024.040095</v>
      </c>
      <c r="T18">
        <v>172051758.99847099</v>
      </c>
      <c r="U18">
        <v>165243362.67146701</v>
      </c>
      <c r="V18">
        <v>158901023.03434399</v>
      </c>
      <c r="W18">
        <v>153947132.632431</v>
      </c>
      <c r="X18">
        <v>149514769.52490199</v>
      </c>
      <c r="Y18">
        <v>146107945.543268</v>
      </c>
      <c r="Z18">
        <v>142936262.80380499</v>
      </c>
      <c r="AA18">
        <v>140093561.454059</v>
      </c>
      <c r="AB18">
        <v>137629016.84202501</v>
      </c>
      <c r="AC18">
        <v>135539744.085926</v>
      </c>
      <c r="AD18">
        <v>133827154.65333299</v>
      </c>
      <c r="AE18">
        <v>132459172.040038</v>
      </c>
      <c r="AF18">
        <v>131395827.593018</v>
      </c>
      <c r="AG18">
        <v>130576115.23689599</v>
      </c>
      <c r="AH18">
        <v>129906890.59395599</v>
      </c>
    </row>
    <row r="19" spans="1:57" x14ac:dyDescent="0.25">
      <c r="A19" s="5" t="s">
        <v>2</v>
      </c>
      <c r="B19" s="1" t="s">
        <v>41</v>
      </c>
      <c r="C19">
        <v>139372488.64840001</v>
      </c>
      <c r="D19">
        <v>130275194.69847301</v>
      </c>
      <c r="E19">
        <v>121634593.913798</v>
      </c>
      <c r="F19">
        <v>112766399.472582</v>
      </c>
      <c r="G19">
        <v>104466168.96682</v>
      </c>
      <c r="H19">
        <v>96194376.993059993</v>
      </c>
      <c r="I19">
        <v>88740979.692531005</v>
      </c>
      <c r="J19">
        <v>80612268.43073</v>
      </c>
      <c r="K19">
        <v>72969753.84750399</v>
      </c>
      <c r="L19">
        <v>65554039.903021991</v>
      </c>
      <c r="M19">
        <v>58372006.225368999</v>
      </c>
      <c r="N19">
        <v>51590100.886451997</v>
      </c>
      <c r="O19">
        <v>45133111.003702</v>
      </c>
      <c r="P19">
        <v>39042345.654806003</v>
      </c>
      <c r="Q19">
        <v>33143728.761037</v>
      </c>
      <c r="R19">
        <v>27269421.306823</v>
      </c>
      <c r="S19">
        <v>21820830.514001999</v>
      </c>
      <c r="T19">
        <v>19873907.256296001</v>
      </c>
      <c r="U19">
        <v>17953209.463270001</v>
      </c>
      <c r="V19">
        <v>16107370.059589</v>
      </c>
      <c r="W19">
        <v>14576252.816215999</v>
      </c>
      <c r="X19">
        <v>13133945.39043</v>
      </c>
      <c r="Y19">
        <v>11770935.794918001</v>
      </c>
      <c r="Z19">
        <v>10469353.249453999</v>
      </c>
      <c r="AA19">
        <v>9244346.1025329996</v>
      </c>
      <c r="AB19">
        <v>8098916.5002490003</v>
      </c>
      <c r="AC19">
        <v>7027512.9605249995</v>
      </c>
      <c r="AD19">
        <v>6024690.1716210004</v>
      </c>
      <c r="AE19">
        <v>5082437.9448690005</v>
      </c>
      <c r="AF19">
        <v>4192345.7630969998</v>
      </c>
      <c r="AG19">
        <v>3344277.3094739998</v>
      </c>
      <c r="AH19">
        <v>2526709.4908179999</v>
      </c>
      <c r="AK19" s="3" t="str">
        <f ca="1">INDIRECT(ADDRESS(19,2))</f>
        <v>Diesel</v>
      </c>
      <c r="AL19" s="3">
        <f ca="1">INDIRECT(ADDRESS(19,3))</f>
        <v>139372488.64840001</v>
      </c>
      <c r="AM19" s="4">
        <f ca="1">IFERROR(INDIRECT(ADDRESS(19,3)) / INDIRECT(ADDRESS(25,3)),0)</f>
        <v>0.28735926931092487</v>
      </c>
      <c r="AN19" s="3">
        <f ca="1">INDIRECT(ADDRESS(19,9))</f>
        <v>88740979.692531005</v>
      </c>
      <c r="AO19" s="4">
        <f ca="1">IFERROR(INDIRECT(ADDRESS(19,9)) / INDIRECT(ADDRESS(25,9)),0)</f>
        <v>0.23962034378572561</v>
      </c>
      <c r="AP19" s="4">
        <f ca="1">IFERROR((INDIRECT(ADDRESS(19,9)) - INDIRECT(ADDRESS(19,3)))/ INDIRECT(ADDRESS(19,3)),1)</f>
        <v>-0.36328194643635109</v>
      </c>
      <c r="AQ19" s="3">
        <f ca="1">INDIRECT(ADDRESS(19,14))</f>
        <v>51590100.886451997</v>
      </c>
      <c r="AR19" s="4">
        <f ca="1">IFERROR(INDIRECT(ADDRESS(19,14)) / INDIRECT(ADDRESS(25,14)),0)</f>
        <v>0.19833122596764949</v>
      </c>
      <c r="AS19" s="4">
        <f ca="1">IFERROR((INDIRECT(ADDRESS(19,14)) - INDIRECT(ADDRESS(19,3)))/ INDIRECT(ADDRESS(19,3)),1)</f>
        <v>-0.62984013999635036</v>
      </c>
      <c r="AT19" s="3">
        <f ca="1">INDIRECT(ADDRESS(19,19))</f>
        <v>21820830.514001999</v>
      </c>
      <c r="AU19" s="4">
        <f ca="1">IFERROR(INDIRECT(ADDRESS(19,19)) / INDIRECT(ADDRESS(25,19)),0)</f>
        <v>0.11035232686568819</v>
      </c>
      <c r="AV19" s="4">
        <f ca="1">IFERROR((INDIRECT(ADDRESS(19,19)) - INDIRECT(ADDRESS(19,3)))/ INDIRECT(ADDRESS(19,3)),1)</f>
        <v>-0.84343516625400738</v>
      </c>
      <c r="AW19" s="3">
        <f ca="1">INDIRECT(ADDRESS(19,24))</f>
        <v>13133945.39043</v>
      </c>
      <c r="AX19" s="4">
        <f ca="1">IFERROR(INDIRECT(ADDRESS(19,24)) / INDIRECT(ADDRESS(25,24)),0)</f>
        <v>7.8945569206258462E-2</v>
      </c>
      <c r="AY19" s="4">
        <f ca="1">IFERROR((INDIRECT(ADDRESS(19,24)) - INDIRECT(ADDRESS(19,3)))/ INDIRECT(ADDRESS(19,3)),1)</f>
        <v>-0.90576371622692708</v>
      </c>
      <c r="AZ19" s="3">
        <f ca="1">INDIRECT(ADDRESS(19,29))</f>
        <v>7027512.9605249995</v>
      </c>
      <c r="BA19" s="4">
        <f ca="1">IFERROR(INDIRECT(ADDRESS(19,29)) / INDIRECT(ADDRESS(25,29)),0)</f>
        <v>4.6510884694076347E-2</v>
      </c>
      <c r="BB19" s="4">
        <f ca="1">IFERROR((INDIRECT(ADDRESS(19,29)) - INDIRECT(ADDRESS(19,3)))/ INDIRECT(ADDRESS(19,3)),1)</f>
        <v>-0.94957747379934099</v>
      </c>
      <c r="BC19" s="3">
        <f ca="1">INDIRECT(ADDRESS(19,34))</f>
        <v>2526709.4908179999</v>
      </c>
      <c r="BD19" s="4">
        <f ca="1">IFERROR(INDIRECT(ADDRESS(19,34)) / INDIRECT(ADDRESS(25,34)),0)</f>
        <v>1.7505583981400535E-2</v>
      </c>
      <c r="BE19" s="4">
        <f ca="1">IFERROR((INDIRECT(ADDRESS(19,34)) - INDIRECT(ADDRESS(19,3)))/ INDIRECT(ADDRESS(19,3)),1)</f>
        <v>-0.98187081600306203</v>
      </c>
    </row>
    <row r="20" spans="1:57" x14ac:dyDescent="0.25">
      <c r="A20" s="5"/>
      <c r="B20" s="1" t="s">
        <v>127</v>
      </c>
      <c r="C20">
        <v>344926069.060785</v>
      </c>
      <c r="D20">
        <v>344177301.59786898</v>
      </c>
      <c r="E20">
        <v>329323043.29132402</v>
      </c>
      <c r="F20">
        <v>312288495.639884</v>
      </c>
      <c r="G20">
        <v>296353569.241988</v>
      </c>
      <c r="H20">
        <v>276729577.24340397</v>
      </c>
      <c r="I20">
        <v>246714807.13697201</v>
      </c>
      <c r="J20">
        <v>225111804.531115</v>
      </c>
      <c r="K20">
        <v>202024370.16709301</v>
      </c>
      <c r="L20">
        <v>178511683.472978</v>
      </c>
      <c r="M20">
        <v>156075308.38494501</v>
      </c>
      <c r="N20">
        <v>136612471.154771</v>
      </c>
      <c r="O20">
        <v>120095479.678232</v>
      </c>
      <c r="P20">
        <v>105835415.455843</v>
      </c>
      <c r="Q20">
        <v>92930430.476091012</v>
      </c>
      <c r="R20">
        <v>78802111.378447995</v>
      </c>
      <c r="S20">
        <v>66993615.737668999</v>
      </c>
      <c r="T20">
        <v>58494174.434138</v>
      </c>
      <c r="U20">
        <v>50048764.249352999</v>
      </c>
      <c r="V20">
        <v>42094830.079347</v>
      </c>
      <c r="W20">
        <v>35416686.180210002</v>
      </c>
      <c r="X20">
        <v>29467152.461201001</v>
      </c>
      <c r="Y20">
        <v>24157507.789143</v>
      </c>
      <c r="Z20">
        <v>19328196.480292998</v>
      </c>
      <c r="AA20">
        <v>15116046.224835999</v>
      </c>
      <c r="AB20">
        <v>11550025.233315</v>
      </c>
      <c r="AC20">
        <v>8584650.0786160007</v>
      </c>
      <c r="AD20">
        <v>6165961.160805</v>
      </c>
      <c r="AE20">
        <v>4237493.0143820001</v>
      </c>
      <c r="AF20">
        <v>2724187.3789220001</v>
      </c>
      <c r="AG20">
        <v>1535964.4416720001</v>
      </c>
      <c r="AH20">
        <v>571681.38215900003</v>
      </c>
      <c r="AK20" s="3" t="str">
        <f ca="1">INDIRECT(ADDRESS(20,2))</f>
        <v>Gas</v>
      </c>
      <c r="AL20" s="3">
        <f ca="1">INDIRECT(ADDRESS(20,3))</f>
        <v>344926069.060785</v>
      </c>
      <c r="AM20" s="4">
        <f ca="1">IFERROR(INDIRECT(ADDRESS(20,3)) / INDIRECT(ADDRESS(25,3)),0)</f>
        <v>0.7111712227629412</v>
      </c>
      <c r="AN20" s="3">
        <f ca="1">INDIRECT(ADDRESS(20,9))</f>
        <v>246714807.13697201</v>
      </c>
      <c r="AO20" s="4">
        <f ca="1">IFERROR(INDIRECT(ADDRESS(20,9)) / INDIRECT(ADDRESS(25,9)),0)</f>
        <v>0.66618474472584577</v>
      </c>
      <c r="AP20" s="4">
        <f ca="1">IFERROR((INDIRECT(ADDRESS(20,9)) - INDIRECT(ADDRESS(20,3)))/ INDIRECT(ADDRESS(20,3)),1)</f>
        <v>-0.28473134022962349</v>
      </c>
      <c r="AQ20" s="3">
        <f ca="1">INDIRECT(ADDRESS(20,14))</f>
        <v>136612471.154771</v>
      </c>
      <c r="AR20" s="4">
        <f ca="1">IFERROR(INDIRECT(ADDRESS(20,14)) / INDIRECT(ADDRESS(25,14)),0)</f>
        <v>0.52518832917636604</v>
      </c>
      <c r="AS20" s="4">
        <f ca="1">IFERROR((INDIRECT(ADDRESS(20,14)) - INDIRECT(ADDRESS(20,3)))/ INDIRECT(ADDRESS(20,3)),1)</f>
        <v>-0.60393694936784759</v>
      </c>
      <c r="AT20" s="3">
        <f ca="1">INDIRECT(ADDRESS(20,19))</f>
        <v>66993615.737668999</v>
      </c>
      <c r="AU20" s="4">
        <f ca="1">IFERROR(INDIRECT(ADDRESS(20,19)) / INDIRECT(ADDRESS(25,19)),0)</f>
        <v>0.33880018347851981</v>
      </c>
      <c r="AV20" s="4">
        <f ca="1">IFERROR((INDIRECT(ADDRESS(20,19)) - INDIRECT(ADDRESS(20,3)))/ INDIRECT(ADDRESS(20,3)),1)</f>
        <v>-0.80577398536419997</v>
      </c>
      <c r="AW20" s="3">
        <f ca="1">INDIRECT(ADDRESS(20,24))</f>
        <v>29467152.461201001</v>
      </c>
      <c r="AX20" s="4">
        <f ca="1">IFERROR(INDIRECT(ADDRESS(20,24)) / INDIRECT(ADDRESS(25,24)),0)</f>
        <v>0.17712127276181336</v>
      </c>
      <c r="AY20" s="4">
        <f ca="1">IFERROR((INDIRECT(ADDRESS(20,24)) - INDIRECT(ADDRESS(20,3)))/ INDIRECT(ADDRESS(20,3)),1)</f>
        <v>-0.91456965679213964</v>
      </c>
      <c r="AZ20" s="3">
        <f ca="1">INDIRECT(ADDRESS(20,29))</f>
        <v>8584650.0786160007</v>
      </c>
      <c r="BA20" s="4">
        <f ca="1">IFERROR(INDIRECT(ADDRESS(20,29)) / INDIRECT(ADDRESS(25,29)),0)</f>
        <v>5.6816639426826972E-2</v>
      </c>
      <c r="BB20" s="4">
        <f ca="1">IFERROR((INDIRECT(ADDRESS(20,29)) - INDIRECT(ADDRESS(20,3)))/ INDIRECT(ADDRESS(20,3)),1)</f>
        <v>-0.97511162289938957</v>
      </c>
      <c r="BC20" s="3">
        <f ca="1">INDIRECT(ADDRESS(20,34))</f>
        <v>571681.38215900003</v>
      </c>
      <c r="BD20" s="4">
        <f ca="1">IFERROR(INDIRECT(ADDRESS(20,34)) / INDIRECT(ADDRESS(25,34)),0)</f>
        <v>3.9607309357703926E-3</v>
      </c>
      <c r="BE20" s="4">
        <f ca="1">IFERROR((INDIRECT(ADDRESS(20,34)) - INDIRECT(ADDRESS(20,3)))/ INDIRECT(ADDRESS(20,3)),1)</f>
        <v>-0.99834259734639463</v>
      </c>
    </row>
    <row r="21" spans="1:57" x14ac:dyDescent="0.25">
      <c r="A21" s="5"/>
      <c r="B21" s="1" t="s">
        <v>44</v>
      </c>
      <c r="C21">
        <v>11510.165392000001</v>
      </c>
      <c r="D21">
        <v>17453.096475999999</v>
      </c>
      <c r="E21">
        <v>48436.805871999997</v>
      </c>
      <c r="F21">
        <v>145798.862567</v>
      </c>
      <c r="G21">
        <v>282152.81208599999</v>
      </c>
      <c r="H21">
        <v>475741.52934499999</v>
      </c>
      <c r="I21">
        <v>1559162.655209</v>
      </c>
      <c r="J21">
        <v>2049173.299969</v>
      </c>
      <c r="K21">
        <v>2745489.1480020001</v>
      </c>
      <c r="L21">
        <v>3655961.2467820002</v>
      </c>
      <c r="M21">
        <v>4712986.2588249994</v>
      </c>
      <c r="N21">
        <v>6232150.4165679999</v>
      </c>
      <c r="O21">
        <v>7439238.1219389997</v>
      </c>
      <c r="P21">
        <v>8588085.5696479995</v>
      </c>
      <c r="Q21">
        <v>9702896.8260709997</v>
      </c>
      <c r="R21">
        <v>10906995.173828</v>
      </c>
      <c r="S21">
        <v>12050872.043663001</v>
      </c>
      <c r="T21">
        <v>12635096.249965999</v>
      </c>
      <c r="U21">
        <v>13185320.027434001</v>
      </c>
      <c r="V21">
        <v>13617053.38149</v>
      </c>
      <c r="W21">
        <v>13867765.686760001</v>
      </c>
      <c r="X21">
        <v>13951728.873095</v>
      </c>
      <c r="Y21">
        <v>14825971.51214</v>
      </c>
      <c r="Z21">
        <v>15672271.150465</v>
      </c>
      <c r="AA21">
        <v>16420829.929448999</v>
      </c>
      <c r="AB21">
        <v>17057751.339692999</v>
      </c>
      <c r="AC21">
        <v>17880822.930950001</v>
      </c>
      <c r="AD21">
        <v>18341776.606626</v>
      </c>
      <c r="AE21">
        <v>18724185.284216002</v>
      </c>
      <c r="AF21">
        <v>19043996.672086</v>
      </c>
      <c r="AG21">
        <v>19293035.053178001</v>
      </c>
      <c r="AH21">
        <v>19559503.764004</v>
      </c>
      <c r="AK21" s="3" t="str">
        <f ca="1">INDIRECT(ADDRESS(21,2))</f>
        <v>Grid Electricity</v>
      </c>
      <c r="AL21" s="3">
        <f ca="1">INDIRECT(ADDRESS(21,3))</f>
        <v>11510.165392000001</v>
      </c>
      <c r="AM21" s="4">
        <f ca="1">IFERROR(INDIRECT(ADDRESS(21,3)) / INDIRECT(ADDRESS(25,3)),0)</f>
        <v>2.373174755483557E-5</v>
      </c>
      <c r="AN21" s="3">
        <f ca="1">INDIRECT(ADDRESS(21,9))</f>
        <v>1559162.655209</v>
      </c>
      <c r="AO21" s="4">
        <f ca="1">IFERROR(INDIRECT(ADDRESS(21,9)) / INDIRECT(ADDRESS(25,9)),0)</f>
        <v>4.2100852701143941E-3</v>
      </c>
      <c r="AP21" s="4">
        <f ca="1">IFERROR((INDIRECT(ADDRESS(21,9)) - INDIRECT(ADDRESS(21,3)))/ INDIRECT(ADDRESS(21,3)),1)</f>
        <v>134.45962217820752</v>
      </c>
      <c r="AQ21" s="3">
        <f ca="1">INDIRECT(ADDRESS(21,14))</f>
        <v>6232150.4165679999</v>
      </c>
      <c r="AR21" s="4">
        <f ca="1">IFERROR(INDIRECT(ADDRESS(21,14)) / INDIRECT(ADDRESS(25,14)),0)</f>
        <v>2.3958666707265947E-2</v>
      </c>
      <c r="AS21" s="4">
        <f ca="1">IFERROR((INDIRECT(ADDRESS(21,14)) - INDIRECT(ADDRESS(21,3)))/ INDIRECT(ADDRESS(21,3)),1)</f>
        <v>540.44751220513126</v>
      </c>
      <c r="AT21" s="3">
        <f ca="1">INDIRECT(ADDRESS(21,19))</f>
        <v>12050872.043663001</v>
      </c>
      <c r="AU21" s="4">
        <f ca="1">IFERROR(INDIRECT(ADDRESS(21,19)) / INDIRECT(ADDRESS(25,19)),0)</f>
        <v>6.0943682685475689E-2</v>
      </c>
      <c r="AV21" s="4">
        <f ca="1">IFERROR((INDIRECT(ADDRESS(21,19)) - INDIRECT(ADDRESS(21,3)))/ INDIRECT(ADDRESS(21,3)),1)</f>
        <v>1045.976445016056</v>
      </c>
      <c r="AW21" s="3">
        <f ca="1">INDIRECT(ADDRESS(21,24))</f>
        <v>13951728.873095</v>
      </c>
      <c r="AX21" s="4">
        <f ca="1">IFERROR(INDIRECT(ADDRESS(21,24)) / INDIRECT(ADDRESS(25,24)),0)</f>
        <v>8.3861105292886831E-2</v>
      </c>
      <c r="AY21" s="4">
        <f ca="1">IFERROR((INDIRECT(ADDRESS(21,24)) - INDIRECT(ADDRESS(21,3)))/ INDIRECT(ADDRESS(21,3)),1)</f>
        <v>1211.1223629672584</v>
      </c>
      <c r="AZ21" s="3">
        <f ca="1">INDIRECT(ADDRESS(21,29))</f>
        <v>17880822.930950001</v>
      </c>
      <c r="BA21" s="4">
        <f ca="1">IFERROR(INDIRECT(ADDRESS(21,29)) / INDIRECT(ADDRESS(25,29)),0)</f>
        <v>0.11834242046200112</v>
      </c>
      <c r="BB21" s="4">
        <f ca="1">IFERROR((INDIRECT(ADDRESS(21,29)) - INDIRECT(ADDRESS(21,3)))/ INDIRECT(ADDRESS(21,3)),1)</f>
        <v>1552.4809728605505</v>
      </c>
      <c r="BC21" s="3">
        <f ca="1">INDIRECT(ADDRESS(21,34))</f>
        <v>19559503.764004</v>
      </c>
      <c r="BD21" s="4">
        <f ca="1">IFERROR(INDIRECT(ADDRESS(21,34)) / INDIRECT(ADDRESS(25,34)),0)</f>
        <v>0.13551242713876172</v>
      </c>
      <c r="BE21" s="4">
        <f ca="1">IFERROR((INDIRECT(ADDRESS(21,34)) - INDIRECT(ADDRESS(21,3)))/ INDIRECT(ADDRESS(21,3)),1)</f>
        <v>1698.3243014212978</v>
      </c>
    </row>
    <row r="22" spans="1:57" x14ac:dyDescent="0.25">
      <c r="A22" s="5"/>
      <c r="B22" s="1" t="s">
        <v>102</v>
      </c>
      <c r="C22">
        <v>0</v>
      </c>
      <c r="D22">
        <v>704949.66166099999</v>
      </c>
      <c r="E22">
        <v>4487840.2947009997</v>
      </c>
      <c r="F22">
        <v>8149298.9000709997</v>
      </c>
      <c r="G22">
        <v>11688902.854783</v>
      </c>
      <c r="H22">
        <v>15107659.661766</v>
      </c>
      <c r="I22">
        <v>18421886.898965001</v>
      </c>
      <c r="J22">
        <v>21539451.883092999</v>
      </c>
      <c r="K22">
        <v>24527056.776925001</v>
      </c>
      <c r="L22">
        <v>27436934.963355999</v>
      </c>
      <c r="M22">
        <v>30290849.643009</v>
      </c>
      <c r="N22">
        <v>33117192.386767998</v>
      </c>
      <c r="O22">
        <v>35905434.155699</v>
      </c>
      <c r="P22">
        <v>38691787.104869999</v>
      </c>
      <c r="Q22">
        <v>41479018.953587003</v>
      </c>
      <c r="R22">
        <v>44266454.732306004</v>
      </c>
      <c r="S22">
        <v>47053235.762592003</v>
      </c>
      <c r="T22">
        <v>47393720.132223003</v>
      </c>
      <c r="U22">
        <v>47762191.729061</v>
      </c>
      <c r="V22">
        <v>48154807.161174998</v>
      </c>
      <c r="W22">
        <v>48567709.211917996</v>
      </c>
      <c r="X22">
        <v>48997326.917630002</v>
      </c>
      <c r="Y22">
        <v>49413465.869143002</v>
      </c>
      <c r="Z22">
        <v>49838377.676995002</v>
      </c>
      <c r="AA22">
        <v>50269145.094024003</v>
      </c>
      <c r="AB22">
        <v>50702549.325011</v>
      </c>
      <c r="AC22">
        <v>51135700.290064</v>
      </c>
      <c r="AD22">
        <v>51585148.705900997</v>
      </c>
      <c r="AE22">
        <v>52030806.239082001</v>
      </c>
      <c r="AF22">
        <v>52471807.299808003</v>
      </c>
      <c r="AG22">
        <v>52907736.243844002</v>
      </c>
      <c r="AH22">
        <v>53338421.199700996</v>
      </c>
      <c r="AK22" s="3" t="str">
        <f ca="1">INDIRECT(ADDRESS(22,2))</f>
        <v>Hydrogen</v>
      </c>
      <c r="AL22" s="3">
        <f ca="1">INDIRECT(ADDRESS(22,3))</f>
        <v>0</v>
      </c>
      <c r="AM22" s="4">
        <f ca="1">IFERROR(INDIRECT(ADDRESS(22,3)) / INDIRECT(ADDRESS(25,3)),0)</f>
        <v>0</v>
      </c>
      <c r="AN22" s="3">
        <f ca="1">INDIRECT(ADDRESS(22,9))</f>
        <v>18421886.898965001</v>
      </c>
      <c r="AO22" s="4">
        <f ca="1">IFERROR(INDIRECT(ADDRESS(22,9)) / INDIRECT(ADDRESS(25,9)),0)</f>
        <v>4.9743183895492649E-2</v>
      </c>
      <c r="AP22" s="4">
        <f ca="1">IFERROR((INDIRECT(ADDRESS(22,9)) - INDIRECT(ADDRESS(22,3)))/ INDIRECT(ADDRESS(22,3)),1)</f>
        <v>1</v>
      </c>
      <c r="AQ22" s="3">
        <f ca="1">INDIRECT(ADDRESS(22,14))</f>
        <v>33117192.386767998</v>
      </c>
      <c r="AR22" s="4">
        <f ca="1">IFERROR(INDIRECT(ADDRESS(22,14)) / INDIRECT(ADDRESS(25,14)),0)</f>
        <v>0.12731460597703664</v>
      </c>
      <c r="AS22" s="4">
        <f ca="1">IFERROR((INDIRECT(ADDRESS(22,14)) - INDIRECT(ADDRESS(22,3)))/ INDIRECT(ADDRESS(22,3)),1)</f>
        <v>1</v>
      </c>
      <c r="AT22" s="3">
        <f ca="1">INDIRECT(ADDRESS(22,19))</f>
        <v>47053235.762592003</v>
      </c>
      <c r="AU22" s="4">
        <f ca="1">IFERROR(INDIRECT(ADDRESS(22,19)) / INDIRECT(ADDRESS(25,19)),0)</f>
        <v>0.23795767304227758</v>
      </c>
      <c r="AV22" s="4">
        <f ca="1">IFERROR((INDIRECT(ADDRESS(22,19)) - INDIRECT(ADDRESS(22,3)))/ INDIRECT(ADDRESS(22,3)),1)</f>
        <v>1</v>
      </c>
      <c r="AW22" s="3">
        <f ca="1">INDIRECT(ADDRESS(22,24))</f>
        <v>48997326.917630002</v>
      </c>
      <c r="AX22" s="4">
        <f ca="1">IFERROR(INDIRECT(ADDRESS(22,24)) / INDIRECT(ADDRESS(25,24)),0)</f>
        <v>0.29451332011140557</v>
      </c>
      <c r="AY22" s="4">
        <f ca="1">IFERROR((INDIRECT(ADDRESS(22,24)) - INDIRECT(ADDRESS(22,3)))/ INDIRECT(ADDRESS(22,3)),1)</f>
        <v>1</v>
      </c>
      <c r="AZ22" s="3">
        <f ca="1">INDIRECT(ADDRESS(22,29))</f>
        <v>51135700.290064</v>
      </c>
      <c r="BA22" s="4">
        <f ca="1">IFERROR(INDIRECT(ADDRESS(22,29)) / INDIRECT(ADDRESS(25,29)),0)</f>
        <v>0.3384364672540332</v>
      </c>
      <c r="BB22" s="4">
        <f ca="1">IFERROR((INDIRECT(ADDRESS(22,29)) - INDIRECT(ADDRESS(22,3)))/ INDIRECT(ADDRESS(22,3)),1)</f>
        <v>1</v>
      </c>
      <c r="BC22" s="3">
        <f ca="1">INDIRECT(ADDRESS(22,34))</f>
        <v>53338421.199700996</v>
      </c>
      <c r="BD22" s="4">
        <f ca="1">IFERROR(INDIRECT(ADDRESS(22,34)) / INDIRECT(ADDRESS(25,34)),0)</f>
        <v>0.36953999466095994</v>
      </c>
      <c r="BE22" s="4">
        <f ca="1">IFERROR((INDIRECT(ADDRESS(22,34)) - INDIRECT(ADDRESS(22,3)))/ INDIRECT(ADDRESS(22,3)),1)</f>
        <v>1</v>
      </c>
    </row>
    <row r="23" spans="1:57" x14ac:dyDescent="0.25">
      <c r="A23" s="5"/>
      <c r="B23" s="1" t="s">
        <v>103</v>
      </c>
      <c r="C23">
        <v>521179.24215300003</v>
      </c>
      <c r="D23">
        <v>935763.26222699997</v>
      </c>
      <c r="E23">
        <v>1953932.64124</v>
      </c>
      <c r="F23">
        <v>2897148.4754889999</v>
      </c>
      <c r="G23">
        <v>3920921.5272630001</v>
      </c>
      <c r="H23">
        <v>5027655.1859550001</v>
      </c>
      <c r="I23">
        <v>5711124.8548659999</v>
      </c>
      <c r="J23">
        <v>7073460.1389169991</v>
      </c>
      <c r="K23">
        <v>8949728.6870569997</v>
      </c>
      <c r="L23">
        <v>11284108.766860999</v>
      </c>
      <c r="M23">
        <v>13864292.752428999</v>
      </c>
      <c r="N23">
        <v>16139869.715439999</v>
      </c>
      <c r="O23">
        <v>18376709.897555001</v>
      </c>
      <c r="P23">
        <v>20435576.174369</v>
      </c>
      <c r="Q23">
        <v>22413676.880279999</v>
      </c>
      <c r="R23">
        <v>24615549.745967001</v>
      </c>
      <c r="S23">
        <v>26528843.038423002</v>
      </c>
      <c r="T23">
        <v>28505620.414443001</v>
      </c>
      <c r="U23">
        <v>30592954.324306998</v>
      </c>
      <c r="V23">
        <v>32702398.728767</v>
      </c>
      <c r="W23">
        <v>34794808.572076999</v>
      </c>
      <c r="X23">
        <v>36762269.367913999</v>
      </c>
      <c r="Y23">
        <v>38280710.154400997</v>
      </c>
      <c r="Z23">
        <v>39526301.971753001</v>
      </c>
      <c r="AA23">
        <v>40511127.255840003</v>
      </c>
      <c r="AB23">
        <v>41266826.914416999</v>
      </c>
      <c r="AC23">
        <v>41544332.970039003</v>
      </c>
      <c r="AD23">
        <v>41930945.137052998</v>
      </c>
      <c r="AE23">
        <v>42197640.774135001</v>
      </c>
      <c r="AF23">
        <v>42372237.605930001</v>
      </c>
      <c r="AG23">
        <v>42502313.235523999</v>
      </c>
      <c r="AH23">
        <v>42519288.231648013</v>
      </c>
      <c r="AK23" s="3" t="str">
        <f ca="1">INDIRECT(ADDRESS(23,2))</f>
        <v>Local Electricity</v>
      </c>
      <c r="AL23" s="3">
        <f ca="1">INDIRECT(ADDRESS(23,3))</f>
        <v>521179.24215300003</v>
      </c>
      <c r="AM23" s="4">
        <f ca="1">IFERROR(INDIRECT(ADDRESS(23,3)) / INDIRECT(ADDRESS(25,3)),0)</f>
        <v>1.0745713709893415E-3</v>
      </c>
      <c r="AN23" s="3">
        <f ca="1">INDIRECT(ADDRESS(23,9))</f>
        <v>5711124.8548659999</v>
      </c>
      <c r="AO23" s="4">
        <f ca="1">IFERROR(INDIRECT(ADDRESS(23,9)) / INDIRECT(ADDRESS(25,9)),0)</f>
        <v>1.5421304856761402E-2</v>
      </c>
      <c r="AP23" s="4">
        <f ca="1">IFERROR((INDIRECT(ADDRESS(23,9)) - INDIRECT(ADDRESS(23,3)))/ INDIRECT(ADDRESS(23,3)),1)</f>
        <v>9.958081966720794</v>
      </c>
      <c r="AQ23" s="3">
        <f ca="1">INDIRECT(ADDRESS(23,14))</f>
        <v>16139869.715439999</v>
      </c>
      <c r="AR23" s="4">
        <f ca="1">IFERROR(INDIRECT(ADDRESS(23,14)) / INDIRECT(ADDRESS(25,14)),0)</f>
        <v>6.204756518438935E-2</v>
      </c>
      <c r="AS23" s="4">
        <f ca="1">IFERROR((INDIRECT(ADDRESS(23,14)) - INDIRECT(ADDRESS(23,3)))/ INDIRECT(ADDRESS(23,3)),1)</f>
        <v>29.967982624875717</v>
      </c>
      <c r="AT23" s="3">
        <f ca="1">INDIRECT(ADDRESS(23,19))</f>
        <v>26528843.038423002</v>
      </c>
      <c r="AU23" s="4">
        <f ca="1">IFERROR(INDIRECT(ADDRESS(23,19)) / INDIRECT(ADDRESS(25,19)),0)</f>
        <v>0.13416169272136821</v>
      </c>
      <c r="AV23" s="4">
        <f ca="1">IFERROR((INDIRECT(ADDRESS(23,19)) - INDIRECT(ADDRESS(23,3)))/ INDIRECT(ADDRESS(23,3)),1)</f>
        <v>49.901572612201349</v>
      </c>
      <c r="AW23" s="3">
        <f ca="1">INDIRECT(ADDRESS(23,24))</f>
        <v>36762269.367913999</v>
      </c>
      <c r="AX23" s="4">
        <f ca="1">IFERROR(INDIRECT(ADDRESS(23,24)) / INDIRECT(ADDRESS(25,24)),0)</f>
        <v>0.22097078937746009</v>
      </c>
      <c r="AY23" s="4">
        <f ca="1">IFERROR((INDIRECT(ADDRESS(23,24)) - INDIRECT(ADDRESS(23,3)))/ INDIRECT(ADDRESS(23,3)),1)</f>
        <v>69.536710587414149</v>
      </c>
      <c r="AZ23" s="3">
        <f ca="1">INDIRECT(ADDRESS(23,29))</f>
        <v>41544332.970039003</v>
      </c>
      <c r="BA23" s="4">
        <f ca="1">IFERROR(INDIRECT(ADDRESS(23,29)) / INDIRECT(ADDRESS(25,29)),0)</f>
        <v>0.27495697145145442</v>
      </c>
      <c r="BB23" s="4">
        <f ca="1">IFERROR((INDIRECT(ADDRESS(23,29)) - INDIRECT(ADDRESS(23,3)))/ INDIRECT(ADDRESS(23,3)),1)</f>
        <v>78.712178862724244</v>
      </c>
      <c r="BC23" s="3">
        <f ca="1">INDIRECT(ADDRESS(23,34))</f>
        <v>42519288.231648013</v>
      </c>
      <c r="BD23" s="4">
        <f ca="1">IFERROR(INDIRECT(ADDRESS(23,34)) / INDIRECT(ADDRESS(25,34)),0)</f>
        <v>0.29458272653557854</v>
      </c>
      <c r="BE23" s="4">
        <f ca="1">IFERROR((INDIRECT(ADDRESS(23,34)) - INDIRECT(ADDRESS(23,3)))/ INDIRECT(ADDRESS(23,3)),1)</f>
        <v>80.582850567877827</v>
      </c>
    </row>
    <row r="24" spans="1:57" x14ac:dyDescent="0.25">
      <c r="A24" s="5"/>
      <c r="B24" s="1" t="s">
        <v>46</v>
      </c>
      <c r="C24">
        <v>180038.520964</v>
      </c>
      <c r="D24">
        <v>517074.45042200002</v>
      </c>
      <c r="E24">
        <v>2366824.5190249998</v>
      </c>
      <c r="F24">
        <v>4158013.5053170002</v>
      </c>
      <c r="G24">
        <v>5890970.0435240008</v>
      </c>
      <c r="H24">
        <v>7566118.3532380005</v>
      </c>
      <c r="I24">
        <v>9191961.8686760012</v>
      </c>
      <c r="J24">
        <v>10722684.212598</v>
      </c>
      <c r="K24">
        <v>12192115.900721001</v>
      </c>
      <c r="L24">
        <v>13625956.103406001</v>
      </c>
      <c r="M24">
        <v>15034249.310339</v>
      </c>
      <c r="N24">
        <v>16429135.051858</v>
      </c>
      <c r="O24">
        <v>17804136.130139001</v>
      </c>
      <c r="P24">
        <v>19176688.764079999</v>
      </c>
      <c r="Q24">
        <v>20548484.082851999</v>
      </c>
      <c r="R24">
        <v>21919721.345959999</v>
      </c>
      <c r="S24">
        <v>23290440.734297998</v>
      </c>
      <c r="T24">
        <v>23418608.020812001</v>
      </c>
      <c r="U24">
        <v>23561027.143222</v>
      </c>
      <c r="V24">
        <v>23715810.863467999</v>
      </c>
      <c r="W24">
        <v>23880984.452888999</v>
      </c>
      <c r="X24">
        <v>24054676.783707999</v>
      </c>
      <c r="Y24">
        <v>24222056.964563001</v>
      </c>
      <c r="Z24">
        <v>24393879.991877999</v>
      </c>
      <c r="AA24">
        <v>24568652.788143001</v>
      </c>
      <c r="AB24">
        <v>24744796.968410999</v>
      </c>
      <c r="AC24">
        <v>24920923.762897</v>
      </c>
      <c r="AD24">
        <v>25105059.325150002</v>
      </c>
      <c r="AE24">
        <v>25287510.201448001</v>
      </c>
      <c r="AF24">
        <v>25467877.711812999</v>
      </c>
      <c r="AG24">
        <v>25645979.580926001</v>
      </c>
      <c r="AH24">
        <v>25821739.575994998</v>
      </c>
      <c r="AK24" s="3" t="str">
        <f ca="1">INDIRECT(ADDRESS(24,2))</f>
        <v>Natural Gas</v>
      </c>
      <c r="AL24" s="3">
        <f ca="1">INDIRECT(ADDRESS(24,3))</f>
        <v>180038.520964</v>
      </c>
      <c r="AM24" s="4">
        <f ca="1">IFERROR(INDIRECT(ADDRESS(24,3)) / INDIRECT(ADDRESS(25,3)),0)</f>
        <v>3.7120480758975519E-4</v>
      </c>
      <c r="AN24" s="3">
        <f ca="1">INDIRECT(ADDRESS(24,9))</f>
        <v>9191961.8686760012</v>
      </c>
      <c r="AO24" s="4">
        <f ca="1">IFERROR(INDIRECT(ADDRESS(24,9)) / INDIRECT(ADDRESS(25,9)),0)</f>
        <v>2.482033746606031E-2</v>
      </c>
      <c r="AP24" s="4">
        <f ca="1">IFERROR((INDIRECT(ADDRESS(24,9)) - INDIRECT(ADDRESS(24,3)))/ INDIRECT(ADDRESS(24,3)),1)</f>
        <v>50.055528669411807</v>
      </c>
      <c r="AQ24" s="3">
        <f ca="1">INDIRECT(ADDRESS(24,14))</f>
        <v>16429135.051858</v>
      </c>
      <c r="AR24" s="4">
        <f ca="1">IFERROR(INDIRECT(ADDRESS(24,14)) / INDIRECT(ADDRESS(25,14)),0)</f>
        <v>6.3159606987292519E-2</v>
      </c>
      <c r="AS24" s="4">
        <f ca="1">IFERROR((INDIRECT(ADDRESS(24,14)) - INDIRECT(ADDRESS(24,3)))/ INDIRECT(ADDRESS(24,3)),1)</f>
        <v>90.25344378463943</v>
      </c>
      <c r="AT24" s="3">
        <f ca="1">INDIRECT(ADDRESS(24,19))</f>
        <v>23290440.734297998</v>
      </c>
      <c r="AU24" s="4">
        <f ca="1">IFERROR(INDIRECT(ADDRESS(24,19)) / INDIRECT(ADDRESS(25,19)),0)</f>
        <v>0.11778444120667056</v>
      </c>
      <c r="AV24" s="4">
        <f ca="1">IFERROR((INDIRECT(ADDRESS(24,19)) - INDIRECT(ADDRESS(24,3)))/ INDIRECT(ADDRESS(24,3)),1)</f>
        <v>128.3636528982322</v>
      </c>
      <c r="AW24" s="3">
        <f ca="1">INDIRECT(ADDRESS(24,24))</f>
        <v>24054676.783707999</v>
      </c>
      <c r="AX24" s="4">
        <f ca="1">IFERROR(INDIRECT(ADDRESS(24,24)) / INDIRECT(ADDRESS(25,24)),0)</f>
        <v>0.14458794325017563</v>
      </c>
      <c r="AY24" s="4">
        <f ca="1">IFERROR((INDIRECT(ADDRESS(24,24)) - INDIRECT(ADDRESS(24,3)))/ INDIRECT(ADDRESS(24,3)),1)</f>
        <v>132.60850030820851</v>
      </c>
      <c r="AZ24" s="3">
        <f ca="1">INDIRECT(ADDRESS(24,29))</f>
        <v>24920923.762897</v>
      </c>
      <c r="BA24" s="4">
        <f ca="1">IFERROR(INDIRECT(ADDRESS(24,29)) / INDIRECT(ADDRESS(25,29)),0)</f>
        <v>0.164936616711608</v>
      </c>
      <c r="BB24" s="4">
        <f ca="1">IFERROR((INDIRECT(ADDRESS(24,29)) - INDIRECT(ADDRESS(24,3)))/ INDIRECT(ADDRESS(24,3)),1)</f>
        <v>137.41995384909941</v>
      </c>
      <c r="BC24" s="3">
        <f ca="1">INDIRECT(ADDRESS(24,34))</f>
        <v>25821739.575994998</v>
      </c>
      <c r="BD24" s="4">
        <f ca="1">IFERROR(INDIRECT(ADDRESS(24,34)) / INDIRECT(ADDRESS(25,34)),0)</f>
        <v>0.17889853674752901</v>
      </c>
      <c r="BE24" s="4">
        <f ca="1">IFERROR((INDIRECT(ADDRESS(24,34)) - INDIRECT(ADDRESS(24,3)))/ INDIRECT(ADDRESS(24,3)),1)</f>
        <v>142.42341537652513</v>
      </c>
    </row>
    <row r="25" spans="1:57" x14ac:dyDescent="0.25">
      <c r="A25" s="1" t="s">
        <v>21</v>
      </c>
      <c r="B25" s="1"/>
      <c r="C25">
        <v>485011285.637694</v>
      </c>
      <c r="D25">
        <v>476627736.76712799</v>
      </c>
      <c r="E25">
        <v>459814671.46596003</v>
      </c>
      <c r="F25">
        <v>440405154.85591</v>
      </c>
      <c r="G25">
        <v>422602685.446464</v>
      </c>
      <c r="H25">
        <v>401101128.96676791</v>
      </c>
      <c r="I25">
        <v>370339923.10721898</v>
      </c>
      <c r="J25">
        <v>347108842.49642211</v>
      </c>
      <c r="K25">
        <v>323408514.52730209</v>
      </c>
      <c r="L25">
        <v>300068684.45640498</v>
      </c>
      <c r="M25">
        <v>278349692.57491601</v>
      </c>
      <c r="N25">
        <v>260120919.611857</v>
      </c>
      <c r="O25">
        <v>244754108.987266</v>
      </c>
      <c r="P25">
        <v>231769898.723616</v>
      </c>
      <c r="Q25">
        <v>220218235.979918</v>
      </c>
      <c r="R25">
        <v>207780253.683332</v>
      </c>
      <c r="S25">
        <v>197737837.83064699</v>
      </c>
      <c r="T25">
        <v>190321126.50787801</v>
      </c>
      <c r="U25">
        <v>183103466.936647</v>
      </c>
      <c r="V25">
        <v>176392270.27383599</v>
      </c>
      <c r="W25">
        <v>171104206.92006999</v>
      </c>
      <c r="X25">
        <v>166367099.79397801</v>
      </c>
      <c r="Y25">
        <v>162670648.084308</v>
      </c>
      <c r="Z25">
        <v>159228380.52083799</v>
      </c>
      <c r="AA25">
        <v>156130147.39482501</v>
      </c>
      <c r="AB25">
        <v>153420866.28109601</v>
      </c>
      <c r="AC25">
        <v>151093942.99309099</v>
      </c>
      <c r="AD25">
        <v>149153581.10715601</v>
      </c>
      <c r="AE25">
        <v>147560073.458132</v>
      </c>
      <c r="AF25">
        <v>146272452.431656</v>
      </c>
      <c r="AG25">
        <v>145229305.864618</v>
      </c>
      <c r="AH25">
        <v>144337343.64432499</v>
      </c>
    </row>
    <row r="26" spans="1:57" x14ac:dyDescent="0.25">
      <c r="A26" s="5" t="s">
        <v>6</v>
      </c>
      <c r="B26" s="1" t="s">
        <v>41</v>
      </c>
      <c r="C26">
        <v>139372488.64840001</v>
      </c>
      <c r="D26">
        <v>130275194.69847301</v>
      </c>
      <c r="E26">
        <v>121634593.913798</v>
      </c>
      <c r="F26">
        <v>112766399.472582</v>
      </c>
      <c r="G26">
        <v>104466168.96682</v>
      </c>
      <c r="H26">
        <v>96194376.993059993</v>
      </c>
      <c r="I26">
        <v>88740979.692531005</v>
      </c>
      <c r="J26">
        <v>80612268.43073</v>
      </c>
      <c r="K26">
        <v>72969753.84750399</v>
      </c>
      <c r="L26">
        <v>65554039.903021991</v>
      </c>
      <c r="M26">
        <v>58372006.225368999</v>
      </c>
      <c r="N26">
        <v>51590100.886451997</v>
      </c>
      <c r="O26">
        <v>45133111.003702</v>
      </c>
      <c r="P26">
        <v>39042345.654806003</v>
      </c>
      <c r="Q26">
        <v>33143728.761037</v>
      </c>
      <c r="R26">
        <v>27269421.306823</v>
      </c>
      <c r="S26">
        <v>21820830.514001999</v>
      </c>
      <c r="T26">
        <v>19873907.256296001</v>
      </c>
      <c r="U26">
        <v>17953209.463270001</v>
      </c>
      <c r="V26">
        <v>16107370.059589</v>
      </c>
      <c r="W26">
        <v>14576252.816215999</v>
      </c>
      <c r="X26">
        <v>13133945.39043</v>
      </c>
      <c r="Y26">
        <v>11770935.794918001</v>
      </c>
      <c r="Z26">
        <v>10469353.249453999</v>
      </c>
      <c r="AA26">
        <v>9244346.1025329996</v>
      </c>
      <c r="AB26">
        <v>8098916.5002490003</v>
      </c>
      <c r="AC26">
        <v>7027512.9605249995</v>
      </c>
      <c r="AD26">
        <v>6024690.1716210004</v>
      </c>
      <c r="AE26">
        <v>5082437.9448690005</v>
      </c>
      <c r="AF26">
        <v>4192345.7630969998</v>
      </c>
      <c r="AG26">
        <v>3344277.3094739998</v>
      </c>
      <c r="AH26">
        <v>2526709.4908179999</v>
      </c>
      <c r="AK26" s="3" t="str">
        <f ca="1">INDIRECT(ADDRESS(26,2))</f>
        <v>Diesel</v>
      </c>
      <c r="AL26" s="3">
        <f ca="1">INDIRECT(ADDRESS(26,3))</f>
        <v>139372488.64840001</v>
      </c>
      <c r="AM26" s="4">
        <f ca="1">IFERROR(INDIRECT(ADDRESS(26,3)) / INDIRECT(ADDRESS(32,3)),0)</f>
        <v>0.28735926931092487</v>
      </c>
      <c r="AN26" s="3">
        <f ca="1">INDIRECT(ADDRESS(26,9))</f>
        <v>88740979.692531005</v>
      </c>
      <c r="AO26" s="4">
        <f ca="1">IFERROR(INDIRECT(ADDRESS(26,9)) / INDIRECT(ADDRESS(32,9)),0)</f>
        <v>0.2396203438558214</v>
      </c>
      <c r="AP26" s="4">
        <f ca="1">IFERROR((INDIRECT(ADDRESS(26,9)) - INDIRECT(ADDRESS(26,3)))/ INDIRECT(ADDRESS(26,3)),1)</f>
        <v>-0.36328194643635109</v>
      </c>
      <c r="AQ26" s="3">
        <f ca="1">INDIRECT(ADDRESS(26,14))</f>
        <v>51590100.886451997</v>
      </c>
      <c r="AR26" s="4">
        <f ca="1">IFERROR(INDIRECT(ADDRESS(26,14)) / INDIRECT(ADDRESS(32,14)),0)</f>
        <v>0.19833122520511084</v>
      </c>
      <c r="AS26" s="4">
        <f ca="1">IFERROR((INDIRECT(ADDRESS(26,14)) - INDIRECT(ADDRESS(26,3)))/ INDIRECT(ADDRESS(26,3)),1)</f>
        <v>-0.62984013999635036</v>
      </c>
      <c r="AT26" s="3">
        <f ca="1">INDIRECT(ADDRESS(26,19))</f>
        <v>21820830.514001999</v>
      </c>
      <c r="AU26" s="4">
        <f ca="1">IFERROR(INDIRECT(ADDRESS(26,19)) / INDIRECT(ADDRESS(32,19)),0)</f>
        <v>0.11035232686568819</v>
      </c>
      <c r="AV26" s="4">
        <f ca="1">IFERROR((INDIRECT(ADDRESS(26,19)) - INDIRECT(ADDRESS(26,3)))/ INDIRECT(ADDRESS(26,3)),1)</f>
        <v>-0.84343516625400738</v>
      </c>
      <c r="AW26" s="3">
        <f ca="1">INDIRECT(ADDRESS(26,24))</f>
        <v>13133945.39043</v>
      </c>
      <c r="AX26" s="4">
        <f ca="1">IFERROR(INDIRECT(ADDRESS(26,24)) / INDIRECT(ADDRESS(32,24)),0)</f>
        <v>7.8945568668361055E-2</v>
      </c>
      <c r="AY26" s="4">
        <f ca="1">IFERROR((INDIRECT(ADDRESS(26,24)) - INDIRECT(ADDRESS(26,3)))/ INDIRECT(ADDRESS(26,3)),1)</f>
        <v>-0.90576371622692708</v>
      </c>
      <c r="AZ26" s="3">
        <f ca="1">INDIRECT(ADDRESS(26,29))</f>
        <v>7027512.9605249995</v>
      </c>
      <c r="BA26" s="4">
        <f ca="1">IFERROR(INDIRECT(ADDRESS(26,29)) / INDIRECT(ADDRESS(32,29)),0)</f>
        <v>4.6510884694076646E-2</v>
      </c>
      <c r="BB26" s="4">
        <f ca="1">IFERROR((INDIRECT(ADDRESS(26,29)) - INDIRECT(ADDRESS(26,3)))/ INDIRECT(ADDRESS(26,3)),1)</f>
        <v>-0.94957747379934099</v>
      </c>
      <c r="BC26" s="3">
        <f ca="1">INDIRECT(ADDRESS(26,34))</f>
        <v>2526709.4908179999</v>
      </c>
      <c r="BD26" s="4">
        <f ca="1">IFERROR(INDIRECT(ADDRESS(26,34)) / INDIRECT(ADDRESS(32,34)),0)</f>
        <v>1.7505584093592364E-2</v>
      </c>
      <c r="BE26" s="4">
        <f ca="1">IFERROR((INDIRECT(ADDRESS(26,34)) - INDIRECT(ADDRESS(26,3)))/ INDIRECT(ADDRESS(26,3)),1)</f>
        <v>-0.98187081600306203</v>
      </c>
    </row>
    <row r="27" spans="1:57" x14ac:dyDescent="0.25">
      <c r="A27" s="5"/>
      <c r="B27" s="1" t="s">
        <v>127</v>
      </c>
      <c r="C27">
        <v>344926069.060785</v>
      </c>
      <c r="D27">
        <v>344177301.59786898</v>
      </c>
      <c r="E27">
        <v>329323043.29132402</v>
      </c>
      <c r="F27">
        <v>312288495.639884</v>
      </c>
      <c r="G27">
        <v>296353569.241988</v>
      </c>
      <c r="H27">
        <v>276729577.24340397</v>
      </c>
      <c r="I27">
        <v>246714807.13697201</v>
      </c>
      <c r="J27">
        <v>225111804.531115</v>
      </c>
      <c r="K27">
        <v>202024370.16709301</v>
      </c>
      <c r="L27">
        <v>178511683.472978</v>
      </c>
      <c r="M27">
        <v>156075308.38494501</v>
      </c>
      <c r="N27">
        <v>136612471.154771</v>
      </c>
      <c r="O27">
        <v>120095479.678232</v>
      </c>
      <c r="P27">
        <v>105835415.455843</v>
      </c>
      <c r="Q27">
        <v>92930430.476091012</v>
      </c>
      <c r="R27">
        <v>78802111.378447995</v>
      </c>
      <c r="S27">
        <v>66993615.737668999</v>
      </c>
      <c r="T27">
        <v>58494174.434138</v>
      </c>
      <c r="U27">
        <v>50048764.249352999</v>
      </c>
      <c r="V27">
        <v>42094830.079347</v>
      </c>
      <c r="W27">
        <v>35416686.180210002</v>
      </c>
      <c r="X27">
        <v>29467152.461201001</v>
      </c>
      <c r="Y27">
        <v>24157507.789143</v>
      </c>
      <c r="Z27">
        <v>19328196.480292998</v>
      </c>
      <c r="AA27">
        <v>15116046.224835999</v>
      </c>
      <c r="AB27">
        <v>11550025.233315</v>
      </c>
      <c r="AC27">
        <v>8584650.0786160007</v>
      </c>
      <c r="AD27">
        <v>6165961.160805</v>
      </c>
      <c r="AE27">
        <v>4237493.0143820001</v>
      </c>
      <c r="AF27">
        <v>2724187.3789220001</v>
      </c>
      <c r="AG27">
        <v>1535964.4416720001</v>
      </c>
      <c r="AH27">
        <v>571681.38215900003</v>
      </c>
      <c r="AK27" s="3" t="str">
        <f ca="1">INDIRECT(ADDRESS(27,2))</f>
        <v>Gas</v>
      </c>
      <c r="AL27" s="3">
        <f ca="1">INDIRECT(ADDRESS(27,3))</f>
        <v>344926069.060785</v>
      </c>
      <c r="AM27" s="4">
        <f ca="1">IFERROR(INDIRECT(ADDRESS(27,3)) / INDIRECT(ADDRESS(32,3)),0)</f>
        <v>0.7111712227629412</v>
      </c>
      <c r="AN27" s="3">
        <f ca="1">INDIRECT(ADDRESS(27,9))</f>
        <v>246714807.13697201</v>
      </c>
      <c r="AO27" s="4">
        <f ca="1">IFERROR(INDIRECT(ADDRESS(27,9)) / INDIRECT(ADDRESS(32,9)),0)</f>
        <v>0.66618474492072366</v>
      </c>
      <c r="AP27" s="4">
        <f ca="1">IFERROR((INDIRECT(ADDRESS(27,9)) - INDIRECT(ADDRESS(27,3)))/ INDIRECT(ADDRESS(27,3)),1)</f>
        <v>-0.28473134022962349</v>
      </c>
      <c r="AQ27" s="3">
        <f ca="1">INDIRECT(ADDRESS(27,14))</f>
        <v>136612471.154771</v>
      </c>
      <c r="AR27" s="4">
        <f ca="1">IFERROR(INDIRECT(ADDRESS(27,14)) / INDIRECT(ADDRESS(32,14)),0)</f>
        <v>0.52518832715713593</v>
      </c>
      <c r="AS27" s="4">
        <f ca="1">IFERROR((INDIRECT(ADDRESS(27,14)) - INDIRECT(ADDRESS(27,3)))/ INDIRECT(ADDRESS(27,3)),1)</f>
        <v>-0.60393694936784759</v>
      </c>
      <c r="AT27" s="3">
        <f ca="1">INDIRECT(ADDRESS(27,19))</f>
        <v>66993615.737668999</v>
      </c>
      <c r="AU27" s="4">
        <f ca="1">IFERROR(INDIRECT(ADDRESS(27,19)) / INDIRECT(ADDRESS(32,19)),0)</f>
        <v>0.33880018347851981</v>
      </c>
      <c r="AV27" s="4">
        <f ca="1">IFERROR((INDIRECT(ADDRESS(27,19)) - INDIRECT(ADDRESS(27,3)))/ INDIRECT(ADDRESS(27,3)),1)</f>
        <v>-0.80577398536419997</v>
      </c>
      <c r="AW27" s="3">
        <f ca="1">INDIRECT(ADDRESS(27,24))</f>
        <v>29467152.461201001</v>
      </c>
      <c r="AX27" s="4">
        <f ca="1">IFERROR(INDIRECT(ADDRESS(27,24)) / INDIRECT(ADDRESS(32,24)),0)</f>
        <v>0.17712127155499358</v>
      </c>
      <c r="AY27" s="4">
        <f ca="1">IFERROR((INDIRECT(ADDRESS(27,24)) - INDIRECT(ADDRESS(27,3)))/ INDIRECT(ADDRESS(27,3)),1)</f>
        <v>-0.91456965679213964</v>
      </c>
      <c r="AZ27" s="3">
        <f ca="1">INDIRECT(ADDRESS(27,29))</f>
        <v>8584650.0786160007</v>
      </c>
      <c r="BA27" s="4">
        <f ca="1">IFERROR(INDIRECT(ADDRESS(27,29)) / INDIRECT(ADDRESS(32,29)),0)</f>
        <v>5.6816639426827346E-2</v>
      </c>
      <c r="BB27" s="4">
        <f ca="1">IFERROR((INDIRECT(ADDRESS(27,29)) - INDIRECT(ADDRESS(27,3)))/ INDIRECT(ADDRESS(27,3)),1)</f>
        <v>-0.97511162289938957</v>
      </c>
      <c r="BC27" s="3">
        <f ca="1">INDIRECT(ADDRESS(27,34))</f>
        <v>571681.38215900003</v>
      </c>
      <c r="BD27" s="4">
        <f ca="1">IFERROR(INDIRECT(ADDRESS(27,34)) / INDIRECT(ADDRESS(32,34)),0)</f>
        <v>3.960730961154387E-3</v>
      </c>
      <c r="BE27" s="4">
        <f ca="1">IFERROR((INDIRECT(ADDRESS(27,34)) - INDIRECT(ADDRESS(27,3)))/ INDIRECT(ADDRESS(27,3)),1)</f>
        <v>-0.99834259734639463</v>
      </c>
    </row>
    <row r="28" spans="1:57" x14ac:dyDescent="0.25">
      <c r="A28" s="5"/>
      <c r="B28" s="1" t="s">
        <v>44</v>
      </c>
      <c r="C28">
        <v>11510.165392000001</v>
      </c>
      <c r="D28">
        <v>17453.096475999999</v>
      </c>
      <c r="E28">
        <v>48436.805871999997</v>
      </c>
      <c r="F28">
        <v>145798.862567</v>
      </c>
      <c r="G28">
        <v>208812.183303</v>
      </c>
      <c r="H28">
        <v>289595.63647899998</v>
      </c>
      <c r="I28">
        <v>1236233.685916</v>
      </c>
      <c r="J28">
        <v>1516798.899278</v>
      </c>
      <c r="K28">
        <v>1904911.341978</v>
      </c>
      <c r="L28">
        <v>2386950.6040739999</v>
      </c>
      <c r="M28">
        <v>2937811.5248719999</v>
      </c>
      <c r="N28">
        <v>3900159.9703600002</v>
      </c>
      <c r="O28">
        <v>4486319.1490010004</v>
      </c>
      <c r="P28">
        <v>4954462.2816129997</v>
      </c>
      <c r="Q28">
        <v>5309612.4342179997</v>
      </c>
      <c r="R28">
        <v>5596924.0805930002</v>
      </c>
      <c r="S28">
        <v>5815371.6373439999</v>
      </c>
      <c r="T28">
        <v>5936281.0680590002</v>
      </c>
      <c r="U28">
        <v>5971161.7153860005</v>
      </c>
      <c r="V28">
        <v>5842853.6432720004</v>
      </c>
      <c r="W28">
        <v>5472214.17031</v>
      </c>
      <c r="X28">
        <v>4953434.7700659996</v>
      </c>
      <c r="Y28">
        <v>5513220.9223770006</v>
      </c>
      <c r="Z28">
        <v>6126021.3559499998</v>
      </c>
      <c r="AA28">
        <v>6699389.7533089994</v>
      </c>
      <c r="AB28">
        <v>7192116.4964419995</v>
      </c>
      <c r="AC28">
        <v>8025760.3944530003</v>
      </c>
      <c r="AD28">
        <v>8445528.7105500009</v>
      </c>
      <c r="AE28">
        <v>8807989.6938899998</v>
      </c>
      <c r="AF28">
        <v>9123074.3351579998</v>
      </c>
      <c r="AG28">
        <v>9345430.6865250003</v>
      </c>
      <c r="AH28">
        <v>9665006.3903260008</v>
      </c>
      <c r="AK28" s="3" t="str">
        <f ca="1">INDIRECT(ADDRESS(28,2))</f>
        <v>Grid Electricity</v>
      </c>
      <c r="AL28" s="3">
        <f ca="1">INDIRECT(ADDRESS(28,3))</f>
        <v>11510.165392000001</v>
      </c>
      <c r="AM28" s="4">
        <f ca="1">IFERROR(INDIRECT(ADDRESS(28,3)) / INDIRECT(ADDRESS(32,3)),0)</f>
        <v>2.373174755483557E-5</v>
      </c>
      <c r="AN28" s="3">
        <f ca="1">INDIRECT(ADDRESS(28,9))</f>
        <v>1236233.685916</v>
      </c>
      <c r="AO28" s="4">
        <f ca="1">IFERROR(INDIRECT(ADDRESS(28,9)) / INDIRECT(ADDRESS(32,9)),0)</f>
        <v>3.3381053706157552E-3</v>
      </c>
      <c r="AP28" s="4">
        <f ca="1">IFERROR((INDIRECT(ADDRESS(28,9)) - INDIRECT(ADDRESS(28,3)))/ INDIRECT(ADDRESS(28,3)),1)</f>
        <v>106.40364224264137</v>
      </c>
      <c r="AQ28" s="3">
        <f ca="1">INDIRECT(ADDRESS(28,14))</f>
        <v>3900159.9703600002</v>
      </c>
      <c r="AR28" s="4">
        <f ca="1">IFERROR(INDIRECT(ADDRESS(28,14)) / INDIRECT(ADDRESS(32,14)),0)</f>
        <v>1.4993642038419847E-2</v>
      </c>
      <c r="AS28" s="4">
        <f ca="1">IFERROR((INDIRECT(ADDRESS(28,14)) - INDIRECT(ADDRESS(28,3)))/ INDIRECT(ADDRESS(28,3)),1)</f>
        <v>337.84482433855885</v>
      </c>
      <c r="AT28" s="3">
        <f ca="1">INDIRECT(ADDRESS(28,19))</f>
        <v>5815371.6373439999</v>
      </c>
      <c r="AU28" s="4">
        <f ca="1">IFERROR(INDIRECT(ADDRESS(28,19)) / INDIRECT(ADDRESS(32,19)),0)</f>
        <v>2.940950351811062E-2</v>
      </c>
      <c r="AV28" s="4">
        <f ca="1">IFERROR((INDIRECT(ADDRESS(28,19)) - INDIRECT(ADDRESS(28,3)))/ INDIRECT(ADDRESS(28,3)),1)</f>
        <v>504.23788662375802</v>
      </c>
      <c r="AW28" s="3">
        <f ca="1">INDIRECT(ADDRESS(28,24))</f>
        <v>4953434.7700659996</v>
      </c>
      <c r="AX28" s="4">
        <f ca="1">IFERROR(INDIRECT(ADDRESS(28,24)) / INDIRECT(ADDRESS(32,24)),0)</f>
        <v>2.9774124466013921E-2</v>
      </c>
      <c r="AY28" s="4">
        <f ca="1">IFERROR((INDIRECT(ADDRESS(28,24)) - INDIRECT(ADDRESS(28,3)))/ INDIRECT(ADDRESS(28,3)),1)</f>
        <v>429.35304892393845</v>
      </c>
      <c r="AZ28" s="3">
        <f ca="1">INDIRECT(ADDRESS(28,29))</f>
        <v>8025760.3944530003</v>
      </c>
      <c r="BA28" s="4">
        <f ca="1">IFERROR(INDIRECT(ADDRESS(28,29)) / INDIRECT(ADDRESS(32,29)),0)</f>
        <v>5.3117684504533996E-2</v>
      </c>
      <c r="BB28" s="4">
        <f ca="1">IFERROR((INDIRECT(ADDRESS(28,29)) - INDIRECT(ADDRESS(28,3)))/ INDIRECT(ADDRESS(28,3)),1)</f>
        <v>696.27585322372568</v>
      </c>
      <c r="BC28" s="3">
        <f ca="1">INDIRECT(ADDRESS(28,34))</f>
        <v>9665006.3903260008</v>
      </c>
      <c r="BD28" s="4">
        <f ca="1">IFERROR(INDIRECT(ADDRESS(28,34)) / INDIRECT(ADDRESS(32,34)),0)</f>
        <v>6.6961232680605914E-2</v>
      </c>
      <c r="BE28" s="4">
        <f ca="1">IFERROR((INDIRECT(ADDRESS(28,34)) - INDIRECT(ADDRESS(28,3)))/ INDIRECT(ADDRESS(28,3)),1)</f>
        <v>838.69309398834048</v>
      </c>
    </row>
    <row r="29" spans="1:57" x14ac:dyDescent="0.25">
      <c r="A29" s="5"/>
      <c r="B29" s="1" t="s">
        <v>102</v>
      </c>
      <c r="C29">
        <v>0</v>
      </c>
      <c r="D29">
        <v>704949.66166099999</v>
      </c>
      <c r="E29">
        <v>4487840.2947009997</v>
      </c>
      <c r="F29">
        <v>8149298.9000709997</v>
      </c>
      <c r="G29">
        <v>11688902.854783</v>
      </c>
      <c r="H29">
        <v>15107659.661766</v>
      </c>
      <c r="I29">
        <v>18421886.898965001</v>
      </c>
      <c r="J29">
        <v>21539451.883092999</v>
      </c>
      <c r="K29">
        <v>24527056.776925001</v>
      </c>
      <c r="L29">
        <v>27436934.963355999</v>
      </c>
      <c r="M29">
        <v>30290849.643009</v>
      </c>
      <c r="N29">
        <v>33117192.386767998</v>
      </c>
      <c r="O29">
        <v>35905434.155699</v>
      </c>
      <c r="P29">
        <v>38691787.104869999</v>
      </c>
      <c r="Q29">
        <v>41479018.953587003</v>
      </c>
      <c r="R29">
        <v>44266454.732306004</v>
      </c>
      <c r="S29">
        <v>47053235.762592003</v>
      </c>
      <c r="T29">
        <v>47393720.132223003</v>
      </c>
      <c r="U29">
        <v>47762191.729061</v>
      </c>
      <c r="V29">
        <v>48154807.161174998</v>
      </c>
      <c r="W29">
        <v>48567709.211917996</v>
      </c>
      <c r="X29">
        <v>48997326.917630002</v>
      </c>
      <c r="Y29">
        <v>49413465.869143002</v>
      </c>
      <c r="Z29">
        <v>49838377.676995002</v>
      </c>
      <c r="AA29">
        <v>50269145.094024003</v>
      </c>
      <c r="AB29">
        <v>50702549.325011</v>
      </c>
      <c r="AC29">
        <v>51135700.290064</v>
      </c>
      <c r="AD29">
        <v>51585148.705900997</v>
      </c>
      <c r="AE29">
        <v>52030806.239082001</v>
      </c>
      <c r="AF29">
        <v>52471807.299808003</v>
      </c>
      <c r="AG29">
        <v>52907736.243844002</v>
      </c>
      <c r="AH29">
        <v>53338421.199700996</v>
      </c>
      <c r="AK29" s="3" t="str">
        <f ca="1">INDIRECT(ADDRESS(29,2))</f>
        <v>Hydrogen</v>
      </c>
      <c r="AL29" s="3">
        <f ca="1">INDIRECT(ADDRESS(29,3))</f>
        <v>0</v>
      </c>
      <c r="AM29" s="4">
        <f ca="1">IFERROR(INDIRECT(ADDRESS(29,3)) / INDIRECT(ADDRESS(32,3)),0)</f>
        <v>0</v>
      </c>
      <c r="AN29" s="3">
        <f ca="1">INDIRECT(ADDRESS(29,9))</f>
        <v>18421886.898965001</v>
      </c>
      <c r="AO29" s="4">
        <f ca="1">IFERROR(INDIRECT(ADDRESS(29,9)) / INDIRECT(ADDRESS(32,9)),0)</f>
        <v>4.9743183910043946E-2</v>
      </c>
      <c r="AP29" s="4">
        <f ca="1">IFERROR((INDIRECT(ADDRESS(29,9)) - INDIRECT(ADDRESS(29,3)))/ INDIRECT(ADDRESS(29,3)),1)</f>
        <v>1</v>
      </c>
      <c r="AQ29" s="3">
        <f ca="1">INDIRECT(ADDRESS(29,14))</f>
        <v>33117192.386767998</v>
      </c>
      <c r="AR29" s="4">
        <f ca="1">IFERROR(INDIRECT(ADDRESS(29,14)) / INDIRECT(ADDRESS(32,14)),0)</f>
        <v>0.12731460548754084</v>
      </c>
      <c r="AS29" s="4">
        <f ca="1">IFERROR((INDIRECT(ADDRESS(29,14)) - INDIRECT(ADDRESS(29,3)))/ INDIRECT(ADDRESS(29,3)),1)</f>
        <v>1</v>
      </c>
      <c r="AT29" s="3">
        <f ca="1">INDIRECT(ADDRESS(29,19))</f>
        <v>47053235.762592003</v>
      </c>
      <c r="AU29" s="4">
        <f ca="1">IFERROR(INDIRECT(ADDRESS(29,19)) / INDIRECT(ADDRESS(32,19)),0)</f>
        <v>0.23795767304227758</v>
      </c>
      <c r="AV29" s="4">
        <f ca="1">IFERROR((INDIRECT(ADDRESS(29,19)) - INDIRECT(ADDRESS(29,3)))/ INDIRECT(ADDRESS(29,3)),1)</f>
        <v>1</v>
      </c>
      <c r="AW29" s="3">
        <f ca="1">INDIRECT(ADDRESS(29,24))</f>
        <v>48997326.917630002</v>
      </c>
      <c r="AX29" s="4">
        <f ca="1">IFERROR(INDIRECT(ADDRESS(29,24)) / INDIRECT(ADDRESS(32,24)),0)</f>
        <v>0.29451331810473241</v>
      </c>
      <c r="AY29" s="4">
        <f ca="1">IFERROR((INDIRECT(ADDRESS(29,24)) - INDIRECT(ADDRESS(29,3)))/ INDIRECT(ADDRESS(29,3)),1)</f>
        <v>1</v>
      </c>
      <c r="AZ29" s="3">
        <f ca="1">INDIRECT(ADDRESS(29,29))</f>
        <v>51135700.290064</v>
      </c>
      <c r="BA29" s="4">
        <f ca="1">IFERROR(INDIRECT(ADDRESS(29,29)) / INDIRECT(ADDRESS(32,29)),0)</f>
        <v>0.33843646725403542</v>
      </c>
      <c r="BB29" s="4">
        <f ca="1">IFERROR((INDIRECT(ADDRESS(29,29)) - INDIRECT(ADDRESS(29,3)))/ INDIRECT(ADDRESS(29,3)),1)</f>
        <v>1</v>
      </c>
      <c r="BC29" s="3">
        <f ca="1">INDIRECT(ADDRESS(29,34))</f>
        <v>53338421.199700996</v>
      </c>
      <c r="BD29" s="4">
        <f ca="1">IFERROR(INDIRECT(ADDRESS(29,34)) / INDIRECT(ADDRESS(32,34)),0)</f>
        <v>0.36953999702931095</v>
      </c>
      <c r="BE29" s="4">
        <f ca="1">IFERROR((INDIRECT(ADDRESS(29,34)) - INDIRECT(ADDRESS(29,3)))/ INDIRECT(ADDRESS(29,3)),1)</f>
        <v>1</v>
      </c>
    </row>
    <row r="30" spans="1:57" x14ac:dyDescent="0.25">
      <c r="A30" s="5"/>
      <c r="B30" s="1" t="s">
        <v>103</v>
      </c>
      <c r="C30">
        <v>521179.24215300003</v>
      </c>
      <c r="D30">
        <v>935763.26222699997</v>
      </c>
      <c r="E30">
        <v>1953932.64124</v>
      </c>
      <c r="F30">
        <v>2897148.4754889999</v>
      </c>
      <c r="G30">
        <v>3994262.062099</v>
      </c>
      <c r="H30">
        <v>5213801.2428350002</v>
      </c>
      <c r="I30">
        <v>6034053.7158239996</v>
      </c>
      <c r="J30">
        <v>7605834.5396059994</v>
      </c>
      <c r="K30">
        <v>9790306.1445359997</v>
      </c>
      <c r="L30">
        <v>12553119.409569001</v>
      </c>
      <c r="M30">
        <v>15639466.932737</v>
      </c>
      <c r="N30">
        <v>18471861.161754001</v>
      </c>
      <c r="O30">
        <v>21329628.870494999</v>
      </c>
      <c r="P30">
        <v>24069199.462404002</v>
      </c>
      <c r="Q30">
        <v>26806961.750707</v>
      </c>
      <c r="R30">
        <v>29925622.427182</v>
      </c>
      <c r="S30">
        <v>32764343.444742002</v>
      </c>
      <c r="T30">
        <v>35204435.596349999</v>
      </c>
      <c r="U30">
        <v>37807112.636356004</v>
      </c>
      <c r="V30">
        <v>40476597.776772</v>
      </c>
      <c r="W30">
        <v>43190359.000835001</v>
      </c>
      <c r="X30">
        <v>45760564.604489014</v>
      </c>
      <c r="Y30">
        <v>47593461.139839999</v>
      </c>
      <c r="Z30">
        <v>49072551.355005004</v>
      </c>
      <c r="AA30">
        <v>50232565.311099</v>
      </c>
      <c r="AB30">
        <v>51132460.01946</v>
      </c>
      <c r="AC30">
        <v>51399395.506535001</v>
      </c>
      <c r="AD30">
        <v>51827194.829397</v>
      </c>
      <c r="AE30">
        <v>52113833.641043998</v>
      </c>
      <c r="AF30">
        <v>52293158.112511002</v>
      </c>
      <c r="AG30">
        <v>52449917.602177002</v>
      </c>
      <c r="AH30">
        <v>52413784.68028</v>
      </c>
      <c r="AK30" s="3" t="str">
        <f ca="1">INDIRECT(ADDRESS(30,2))</f>
        <v>Local Electricity</v>
      </c>
      <c r="AL30" s="3">
        <f ca="1">INDIRECT(ADDRESS(30,3))</f>
        <v>521179.24215300003</v>
      </c>
      <c r="AM30" s="4">
        <f ca="1">IFERROR(INDIRECT(ADDRESS(30,3)) / INDIRECT(ADDRESS(32,3)),0)</f>
        <v>1.0745713709893415E-3</v>
      </c>
      <c r="AN30" s="3">
        <f ca="1">INDIRECT(ADDRESS(30,9))</f>
        <v>6034053.7158239996</v>
      </c>
      <c r="AO30" s="4">
        <f ca="1">IFERROR(INDIRECT(ADDRESS(30,9)) / INDIRECT(ADDRESS(32,9)),0)</f>
        <v>1.6293284469474232E-2</v>
      </c>
      <c r="AP30" s="4">
        <f ca="1">IFERROR((INDIRECT(ADDRESS(30,9)) - INDIRECT(ADDRESS(30,3)))/ INDIRECT(ADDRESS(30,3)),1)</f>
        <v>10.577693867655251</v>
      </c>
      <c r="AQ30" s="3">
        <f ca="1">INDIRECT(ADDRESS(30,14))</f>
        <v>18471861.161754001</v>
      </c>
      <c r="AR30" s="4">
        <f ca="1">IFERROR(INDIRECT(ADDRESS(30,14)) / INDIRECT(ADDRESS(32,14)),0)</f>
        <v>7.1012593367334398E-2</v>
      </c>
      <c r="AS30" s="4">
        <f ca="1">IFERROR((INDIRECT(ADDRESS(30,14)) - INDIRECT(ADDRESS(30,3)))/ INDIRECT(ADDRESS(30,3)),1)</f>
        <v>34.44243451724293</v>
      </c>
      <c r="AT30" s="3">
        <f ca="1">INDIRECT(ADDRESS(30,19))</f>
        <v>32764343.444742002</v>
      </c>
      <c r="AU30" s="4">
        <f ca="1">IFERROR(INDIRECT(ADDRESS(30,19)) / INDIRECT(ADDRESS(32,19)),0)</f>
        <v>0.16569587188873328</v>
      </c>
      <c r="AV30" s="4">
        <f ca="1">IFERROR((INDIRECT(ADDRESS(30,19)) - INDIRECT(ADDRESS(30,3)))/ INDIRECT(ADDRESS(30,3)),1)</f>
        <v>61.865787419683024</v>
      </c>
      <c r="AW30" s="3">
        <f ca="1">INDIRECT(ADDRESS(30,24))</f>
        <v>45760564.604489014</v>
      </c>
      <c r="AX30" s="4">
        <f ca="1">IFERROR(INDIRECT(ADDRESS(30,24)) / INDIRECT(ADDRESS(32,24)),0)</f>
        <v>0.27505777494087669</v>
      </c>
      <c r="AY30" s="4">
        <f ca="1">IFERROR((INDIRECT(ADDRESS(30,24)) - INDIRECT(ADDRESS(30,3)))/ INDIRECT(ADDRESS(30,3)),1)</f>
        <v>86.801970806533603</v>
      </c>
      <c r="AZ30" s="3">
        <f ca="1">INDIRECT(ADDRESS(30,29))</f>
        <v>51399395.506535001</v>
      </c>
      <c r="BA30" s="4">
        <f ca="1">IFERROR(INDIRECT(ADDRESS(30,29)) / INDIRECT(ADDRESS(32,29)),0)</f>
        <v>0.34018170740891746</v>
      </c>
      <c r="BB30" s="4">
        <f ca="1">IFERROR((INDIRECT(ADDRESS(30,29)) - INDIRECT(ADDRESS(30,3)))/ INDIRECT(ADDRESS(30,3)),1)</f>
        <v>97.621340508887613</v>
      </c>
      <c r="BC30" s="3">
        <f ca="1">INDIRECT(ADDRESS(30,34))</f>
        <v>52413784.68028</v>
      </c>
      <c r="BD30" s="4">
        <f ca="1">IFERROR(INDIRECT(ADDRESS(30,34)) / INDIRECT(ADDRESS(32,34)),0)</f>
        <v>0.36313391734126155</v>
      </c>
      <c r="BE30" s="4">
        <f ca="1">IFERROR((INDIRECT(ADDRESS(30,34)) - INDIRECT(ADDRESS(30,3)))/ INDIRECT(ADDRESS(30,3)),1)</f>
        <v>99.56767507423703</v>
      </c>
    </row>
    <row r="31" spans="1:57" x14ac:dyDescent="0.25">
      <c r="A31" s="5"/>
      <c r="B31" s="1" t="s">
        <v>46</v>
      </c>
      <c r="C31">
        <v>180038.520964</v>
      </c>
      <c r="D31">
        <v>517074.45042200002</v>
      </c>
      <c r="E31">
        <v>2366824.5190249998</v>
      </c>
      <c r="F31">
        <v>4158013.5053170002</v>
      </c>
      <c r="G31">
        <v>5890970.0435240008</v>
      </c>
      <c r="H31">
        <v>7566118.3532380005</v>
      </c>
      <c r="I31">
        <v>9191961.8686760012</v>
      </c>
      <c r="J31">
        <v>10722684.212598</v>
      </c>
      <c r="K31">
        <v>12192115.900721001</v>
      </c>
      <c r="L31">
        <v>13625956.103406001</v>
      </c>
      <c r="M31">
        <v>15034249.310339</v>
      </c>
      <c r="N31">
        <v>16429135.051858</v>
      </c>
      <c r="O31">
        <v>17804136.130139001</v>
      </c>
      <c r="P31">
        <v>19176688.764079999</v>
      </c>
      <c r="Q31">
        <v>20548484.082851999</v>
      </c>
      <c r="R31">
        <v>21919721.345959999</v>
      </c>
      <c r="S31">
        <v>23290440.734297998</v>
      </c>
      <c r="T31">
        <v>23418608.020812001</v>
      </c>
      <c r="U31">
        <v>23561027.143222</v>
      </c>
      <c r="V31">
        <v>23715810.863467999</v>
      </c>
      <c r="W31">
        <v>23880984.452888999</v>
      </c>
      <c r="X31">
        <v>24054676.783707999</v>
      </c>
      <c r="Y31">
        <v>24222056.964563001</v>
      </c>
      <c r="Z31">
        <v>24393879.991877999</v>
      </c>
      <c r="AA31">
        <v>24568652.788143001</v>
      </c>
      <c r="AB31">
        <v>24744796.968410999</v>
      </c>
      <c r="AC31">
        <v>24920923.762897</v>
      </c>
      <c r="AD31">
        <v>25105059.325150002</v>
      </c>
      <c r="AE31">
        <v>25287510.201448001</v>
      </c>
      <c r="AF31">
        <v>25467877.711812999</v>
      </c>
      <c r="AG31">
        <v>25645979.580926001</v>
      </c>
      <c r="AH31">
        <v>25821739.575994998</v>
      </c>
      <c r="AK31" s="3" t="str">
        <f ca="1">INDIRECT(ADDRESS(31,2))</f>
        <v>Natural Gas</v>
      </c>
      <c r="AL31" s="3">
        <f ca="1">INDIRECT(ADDRESS(31,3))</f>
        <v>180038.520964</v>
      </c>
      <c r="AM31" s="4">
        <f ca="1">IFERROR(INDIRECT(ADDRESS(31,3)) / INDIRECT(ADDRESS(32,3)),0)</f>
        <v>3.7120480758975519E-4</v>
      </c>
      <c r="AN31" s="3">
        <f ca="1">INDIRECT(ADDRESS(31,9))</f>
        <v>9191961.8686760012</v>
      </c>
      <c r="AO31" s="4">
        <f ca="1">IFERROR(INDIRECT(ADDRESS(31,9)) / INDIRECT(ADDRESS(32,9)),0)</f>
        <v>2.4820337473320964E-2</v>
      </c>
      <c r="AP31" s="4">
        <f ca="1">IFERROR((INDIRECT(ADDRESS(31,9)) - INDIRECT(ADDRESS(31,3)))/ INDIRECT(ADDRESS(31,3)),1)</f>
        <v>50.055528669411807</v>
      </c>
      <c r="AQ31" s="3">
        <f ca="1">INDIRECT(ADDRESS(31,14))</f>
        <v>16429135.051858</v>
      </c>
      <c r="AR31" s="4">
        <f ca="1">IFERROR(INDIRECT(ADDRESS(31,14)) / INDIRECT(ADDRESS(32,14)),0)</f>
        <v>6.3159606744458141E-2</v>
      </c>
      <c r="AS31" s="4">
        <f ca="1">IFERROR((INDIRECT(ADDRESS(31,14)) - INDIRECT(ADDRESS(31,3)))/ INDIRECT(ADDRESS(31,3)),1)</f>
        <v>90.25344378463943</v>
      </c>
      <c r="AT31" s="3">
        <f ca="1">INDIRECT(ADDRESS(31,19))</f>
        <v>23290440.734297998</v>
      </c>
      <c r="AU31" s="4">
        <f ca="1">IFERROR(INDIRECT(ADDRESS(31,19)) / INDIRECT(ADDRESS(32,19)),0)</f>
        <v>0.11778444120667056</v>
      </c>
      <c r="AV31" s="4">
        <f ca="1">IFERROR((INDIRECT(ADDRESS(31,19)) - INDIRECT(ADDRESS(31,3)))/ INDIRECT(ADDRESS(31,3)),1)</f>
        <v>128.3636528982322</v>
      </c>
      <c r="AW31" s="3">
        <f ca="1">INDIRECT(ADDRESS(31,24))</f>
        <v>24054676.783707999</v>
      </c>
      <c r="AX31" s="4">
        <f ca="1">IFERROR(INDIRECT(ADDRESS(31,24)) / INDIRECT(ADDRESS(32,24)),0)</f>
        <v>0.14458794226502242</v>
      </c>
      <c r="AY31" s="4">
        <f ca="1">IFERROR((INDIRECT(ADDRESS(31,24)) - INDIRECT(ADDRESS(31,3)))/ INDIRECT(ADDRESS(31,3)),1)</f>
        <v>132.60850030820851</v>
      </c>
      <c r="AZ31" s="3">
        <f ca="1">INDIRECT(ADDRESS(31,29))</f>
        <v>24920923.762897</v>
      </c>
      <c r="BA31" s="4">
        <f ca="1">IFERROR(INDIRECT(ADDRESS(31,29)) / INDIRECT(ADDRESS(32,29)),0)</f>
        <v>0.16493661671160909</v>
      </c>
      <c r="BB31" s="4">
        <f ca="1">IFERROR((INDIRECT(ADDRESS(31,29)) - INDIRECT(ADDRESS(31,3)))/ INDIRECT(ADDRESS(31,3)),1)</f>
        <v>137.41995384909941</v>
      </c>
      <c r="BC31" s="3">
        <f ca="1">INDIRECT(ADDRESS(31,34))</f>
        <v>25821739.575994998</v>
      </c>
      <c r="BD31" s="4">
        <f ca="1">IFERROR(INDIRECT(ADDRESS(31,34)) / INDIRECT(ADDRESS(32,34)),0)</f>
        <v>0.17889853789407484</v>
      </c>
      <c r="BE31" s="4">
        <f ca="1">IFERROR((INDIRECT(ADDRESS(31,34)) - INDIRECT(ADDRESS(31,3)))/ INDIRECT(ADDRESS(31,3)),1)</f>
        <v>142.42341537652513</v>
      </c>
    </row>
    <row r="32" spans="1:57" x14ac:dyDescent="0.25">
      <c r="A32" s="1" t="s">
        <v>21</v>
      </c>
      <c r="B32" s="1"/>
      <c r="C32">
        <v>485011285.637694</v>
      </c>
      <c r="D32">
        <v>476627736.76712799</v>
      </c>
      <c r="E32">
        <v>459814671.46596003</v>
      </c>
      <c r="F32">
        <v>440405154.85591</v>
      </c>
      <c r="G32">
        <v>422602685.35251701</v>
      </c>
      <c r="H32">
        <v>401101129.13078189</v>
      </c>
      <c r="I32">
        <v>370339922.99888402</v>
      </c>
      <c r="J32">
        <v>347108842.49642003</v>
      </c>
      <c r="K32">
        <v>323408514.17875707</v>
      </c>
      <c r="L32">
        <v>300068684.45640498</v>
      </c>
      <c r="M32">
        <v>278349692.02127099</v>
      </c>
      <c r="N32">
        <v>260120920.611963</v>
      </c>
      <c r="O32">
        <v>244754108.987268</v>
      </c>
      <c r="P32">
        <v>231769898.723616</v>
      </c>
      <c r="Q32">
        <v>220218236.45849201</v>
      </c>
      <c r="R32">
        <v>207780255.271312</v>
      </c>
      <c r="S32">
        <v>197737837.83064699</v>
      </c>
      <c r="T32">
        <v>190321126.50787801</v>
      </c>
      <c r="U32">
        <v>183103466.93664801</v>
      </c>
      <c r="V32">
        <v>176392269.58362299</v>
      </c>
      <c r="W32">
        <v>171104205.832378</v>
      </c>
      <c r="X32">
        <v>166367100.927524</v>
      </c>
      <c r="Y32">
        <v>162670648.47998399</v>
      </c>
      <c r="Z32">
        <v>159228380.109575</v>
      </c>
      <c r="AA32">
        <v>156130145.27394399</v>
      </c>
      <c r="AB32">
        <v>153420864.54288799</v>
      </c>
      <c r="AC32">
        <v>151093942.99309</v>
      </c>
      <c r="AD32">
        <v>149153582.90342399</v>
      </c>
      <c r="AE32">
        <v>147560070.73471501</v>
      </c>
      <c r="AF32">
        <v>146272450.601309</v>
      </c>
      <c r="AG32">
        <v>145229305.864618</v>
      </c>
      <c r="AH32">
        <v>144337342.71927899</v>
      </c>
    </row>
    <row r="33" spans="1:57" x14ac:dyDescent="0.25">
      <c r="A33" s="5" t="s">
        <v>3</v>
      </c>
      <c r="B33" s="1" t="s">
        <v>41</v>
      </c>
      <c r="C33">
        <v>139372488.64840001</v>
      </c>
      <c r="D33">
        <v>130275194.69847301</v>
      </c>
      <c r="E33">
        <v>126783382.209437</v>
      </c>
      <c r="F33">
        <v>122795729.231076</v>
      </c>
      <c r="G33">
        <v>119126955.856613</v>
      </c>
      <c r="H33">
        <v>115214540.45905399</v>
      </c>
      <c r="I33">
        <v>111928960.56877699</v>
      </c>
      <c r="J33">
        <v>107549632.06882</v>
      </c>
      <c r="K33">
        <v>103399163.588843</v>
      </c>
      <c r="L33">
        <v>99229454.856577992</v>
      </c>
      <c r="M33">
        <v>95068859.037410006</v>
      </c>
      <c r="N33">
        <v>91150627.915045992</v>
      </c>
      <c r="O33">
        <v>87389444.594500005</v>
      </c>
      <c r="P33">
        <v>83883343.150301993</v>
      </c>
      <c r="Q33">
        <v>80424503.226297989</v>
      </c>
      <c r="R33">
        <v>76790467.223444</v>
      </c>
      <c r="S33">
        <v>73522485.041747004</v>
      </c>
      <c r="T33">
        <v>70216361.364838004</v>
      </c>
      <c r="U33">
        <v>66932501.772947997</v>
      </c>
      <c r="V33">
        <v>63733778.846430004</v>
      </c>
      <c r="W33">
        <v>61526603.010886997</v>
      </c>
      <c r="X33">
        <v>59424346.533724003</v>
      </c>
      <c r="Y33">
        <v>57344680.706012003</v>
      </c>
      <c r="Z33">
        <v>55354168.962778993</v>
      </c>
      <c r="AA33">
        <v>53473739.350367002</v>
      </c>
      <c r="AB33">
        <v>51705679.517003</v>
      </c>
      <c r="AC33">
        <v>50039443.554567002</v>
      </c>
      <c r="AD33">
        <v>48479854.686792001</v>
      </c>
      <c r="AE33">
        <v>46998708.543752</v>
      </c>
      <c r="AF33">
        <v>45582580.6417</v>
      </c>
      <c r="AG33">
        <v>44215774.853386998</v>
      </c>
      <c r="AH33">
        <v>42880597.952766001</v>
      </c>
      <c r="AK33" s="3" t="str">
        <f ca="1">INDIRECT(ADDRESS(33,2))</f>
        <v>Diesel</v>
      </c>
      <c r="AL33" s="3">
        <f ca="1">INDIRECT(ADDRESS(33,3))</f>
        <v>139372488.64840001</v>
      </c>
      <c r="AM33" s="4">
        <f ca="1">IFERROR(INDIRECT(ADDRESS(33,3)) / INDIRECT(ADDRESS(39,3)),0)</f>
        <v>0.28735926931092487</v>
      </c>
      <c r="AN33" s="3">
        <f ca="1">INDIRECT(ADDRESS(33,9))</f>
        <v>111928960.56877699</v>
      </c>
      <c r="AO33" s="4">
        <f ca="1">IFERROR(INDIRECT(ADDRESS(33,9)) / INDIRECT(ADDRESS(39,9)),0)</f>
        <v>0.27370151830820127</v>
      </c>
      <c r="AP33" s="4">
        <f ca="1">IFERROR((INDIRECT(ADDRESS(33,9)) - INDIRECT(ADDRESS(33,3)))/ INDIRECT(ADDRESS(33,3)),1)</f>
        <v>-0.19690778535824088</v>
      </c>
      <c r="AQ33" s="3">
        <f ca="1">INDIRECT(ADDRESS(33,14))</f>
        <v>91150627.915045992</v>
      </c>
      <c r="AR33" s="4">
        <f ca="1">IFERROR(INDIRECT(ADDRESS(33,14)) / INDIRECT(ADDRESS(39,14)),0)</f>
        <v>0.28784647192683221</v>
      </c>
      <c r="AS33" s="4">
        <f ca="1">IFERROR((INDIRECT(ADDRESS(33,14)) - INDIRECT(ADDRESS(33,3)))/ INDIRECT(ADDRESS(33,3)),1)</f>
        <v>-0.34599267905020364</v>
      </c>
      <c r="AT33" s="3">
        <f ca="1">INDIRECT(ADDRESS(33,19))</f>
        <v>73522485.041747004</v>
      </c>
      <c r="AU33" s="4">
        <f ca="1">IFERROR(INDIRECT(ADDRESS(33,19)) / INDIRECT(ADDRESS(39,19)),0)</f>
        <v>0.27934544192719402</v>
      </c>
      <c r="AV33" s="4">
        <f ca="1">IFERROR((INDIRECT(ADDRESS(33,19)) - INDIRECT(ADDRESS(33,3)))/ INDIRECT(ADDRESS(33,3)),1)</f>
        <v>-0.47247490695796629</v>
      </c>
      <c r="AW33" s="3">
        <f ca="1">INDIRECT(ADDRESS(33,24))</f>
        <v>59424346.533724003</v>
      </c>
      <c r="AX33" s="4">
        <f ca="1">IFERROR(INDIRECT(ADDRESS(33,24)) / INDIRECT(ADDRESS(39,24)),0)</f>
        <v>0.26424799006813959</v>
      </c>
      <c r="AY33" s="4">
        <f ca="1">IFERROR((INDIRECT(ADDRESS(33,24)) - INDIRECT(ADDRESS(33,3)))/ INDIRECT(ADDRESS(33,3)),1)</f>
        <v>-0.5736292929113439</v>
      </c>
      <c r="AZ33" s="3">
        <f ca="1">INDIRECT(ADDRESS(33,29))</f>
        <v>50039443.554567002</v>
      </c>
      <c r="BA33" s="4">
        <f ca="1">IFERROR(INDIRECT(ADDRESS(33,29)) / INDIRECT(ADDRESS(39,29)),0)</f>
        <v>0.24569047665665633</v>
      </c>
      <c r="BB33" s="4">
        <f ca="1">IFERROR((INDIRECT(ADDRESS(33,29)) - INDIRECT(ADDRESS(33,3)))/ INDIRECT(ADDRESS(33,3)),1)</f>
        <v>-0.6409661329876708</v>
      </c>
      <c r="BC33" s="3">
        <f ca="1">INDIRECT(ADDRESS(33,34))</f>
        <v>42880597.952766001</v>
      </c>
      <c r="BD33" s="4">
        <f ca="1">IFERROR(INDIRECT(ADDRESS(33,34)) / INDIRECT(ADDRESS(39,34)),0)</f>
        <v>0.22006815421492926</v>
      </c>
      <c r="BE33" s="4">
        <f ca="1">IFERROR((INDIRECT(ADDRESS(33,34)) - INDIRECT(ADDRESS(33,3)))/ INDIRECT(ADDRESS(33,3)),1)</f>
        <v>-0.69233097314533554</v>
      </c>
    </row>
    <row r="34" spans="1:57" x14ac:dyDescent="0.25">
      <c r="A34" s="5"/>
      <c r="B34" s="1" t="s">
        <v>127</v>
      </c>
      <c r="C34">
        <v>344926069.060785</v>
      </c>
      <c r="D34">
        <v>344177301.59786898</v>
      </c>
      <c r="E34">
        <v>338589323.09592199</v>
      </c>
      <c r="F34">
        <v>330297662.910833</v>
      </c>
      <c r="G34">
        <v>322639365.01539499</v>
      </c>
      <c r="H34">
        <v>310511455.958929</v>
      </c>
      <c r="I34">
        <v>286185399.14109403</v>
      </c>
      <c r="J34">
        <v>270122244.51697803</v>
      </c>
      <c r="K34">
        <v>251464557.40067899</v>
      </c>
      <c r="L34">
        <v>231359300.65281001</v>
      </c>
      <c r="M34">
        <v>211558739.65007499</v>
      </c>
      <c r="N34">
        <v>194451257.34048399</v>
      </c>
      <c r="O34">
        <v>180186563.69408</v>
      </c>
      <c r="P34">
        <v>168117395.28238299</v>
      </c>
      <c r="Q34">
        <v>157210918.06840399</v>
      </c>
      <c r="R34">
        <v>144151795.59942999</v>
      </c>
      <c r="S34">
        <v>133588769.8715</v>
      </c>
      <c r="T34">
        <v>122255956.83899701</v>
      </c>
      <c r="U34">
        <v>110704205.417549</v>
      </c>
      <c r="V34">
        <v>99540441.801422998</v>
      </c>
      <c r="W34">
        <v>90457901.143142</v>
      </c>
      <c r="X34">
        <v>82176810.839558005</v>
      </c>
      <c r="Y34">
        <v>74209069.747419</v>
      </c>
      <c r="Z34">
        <v>66933190.525167987</v>
      </c>
      <c r="AA34">
        <v>60555386.371092997</v>
      </c>
      <c r="AB34">
        <v>55121182.508497998</v>
      </c>
      <c r="AC34">
        <v>50564187.222716987</v>
      </c>
      <c r="AD34">
        <v>46818013.030892</v>
      </c>
      <c r="AE34">
        <v>43785489.576568998</v>
      </c>
      <c r="AF34">
        <v>41355860.685924999</v>
      </c>
      <c r="AG34">
        <v>39395918.952422999</v>
      </c>
      <c r="AH34">
        <v>37755550.861334004</v>
      </c>
      <c r="AK34" s="3" t="str">
        <f ca="1">INDIRECT(ADDRESS(34,2))</f>
        <v>Gas</v>
      </c>
      <c r="AL34" s="3">
        <f ca="1">INDIRECT(ADDRESS(34,3))</f>
        <v>344926069.060785</v>
      </c>
      <c r="AM34" s="4">
        <f ca="1">IFERROR(INDIRECT(ADDRESS(34,3)) / INDIRECT(ADDRESS(39,3)),0)</f>
        <v>0.7111712227629412</v>
      </c>
      <c r="AN34" s="3">
        <f ca="1">INDIRECT(ADDRESS(34,9))</f>
        <v>286185399.14109403</v>
      </c>
      <c r="AO34" s="4">
        <f ca="1">IFERROR(INDIRECT(ADDRESS(34,9)) / INDIRECT(ADDRESS(39,9)),0)</f>
        <v>0.69981332681477892</v>
      </c>
      <c r="AP34" s="4">
        <f ca="1">IFERROR((INDIRECT(ADDRESS(34,9)) - INDIRECT(ADDRESS(34,3)))/ INDIRECT(ADDRESS(34,3)),1)</f>
        <v>-0.170299305238478</v>
      </c>
      <c r="AQ34" s="3">
        <f ca="1">INDIRECT(ADDRESS(34,14))</f>
        <v>194451257.34048399</v>
      </c>
      <c r="AR34" s="4">
        <f ca="1">IFERROR(INDIRECT(ADDRESS(34,14)) / INDIRECT(ADDRESS(39,14)),0)</f>
        <v>0.61406168742317224</v>
      </c>
      <c r="AS34" s="4">
        <f ca="1">IFERROR((INDIRECT(ADDRESS(34,14)) - INDIRECT(ADDRESS(34,3)))/ INDIRECT(ADDRESS(34,3)),1)</f>
        <v>-0.43625236019427516</v>
      </c>
      <c r="AT34" s="3">
        <f ca="1">INDIRECT(ADDRESS(34,19))</f>
        <v>133588769.8715</v>
      </c>
      <c r="AU34" s="4">
        <f ca="1">IFERROR(INDIRECT(ADDRESS(34,19)) / INDIRECT(ADDRESS(39,19)),0)</f>
        <v>0.50756464413675739</v>
      </c>
      <c r="AV34" s="4">
        <f ca="1">IFERROR((INDIRECT(ADDRESS(34,19)) - INDIRECT(ADDRESS(34,3)))/ INDIRECT(ADDRESS(34,3)),1)</f>
        <v>-0.61270317945159958</v>
      </c>
      <c r="AW34" s="3">
        <f ca="1">INDIRECT(ADDRESS(34,24))</f>
        <v>82176810.839558005</v>
      </c>
      <c r="AX34" s="4">
        <f ca="1">IFERROR(INDIRECT(ADDRESS(34,24)) / INDIRECT(ADDRESS(39,24)),0)</f>
        <v>0.36542357402684039</v>
      </c>
      <c r="AY34" s="4">
        <f ca="1">IFERROR((INDIRECT(ADDRESS(34,24)) - INDIRECT(ADDRESS(34,3)))/ INDIRECT(ADDRESS(34,3)),1)</f>
        <v>-0.76175529131990227</v>
      </c>
      <c r="AZ34" s="3">
        <f ca="1">INDIRECT(ADDRESS(34,29))</f>
        <v>50564187.222716987</v>
      </c>
      <c r="BA34" s="4">
        <f ca="1">IFERROR(INDIRECT(ADDRESS(34,29)) / INDIRECT(ADDRESS(39,29)),0)</f>
        <v>0.24826693460247148</v>
      </c>
      <c r="BB34" s="4">
        <f ca="1">IFERROR((INDIRECT(ADDRESS(34,29)) - INDIRECT(ADDRESS(34,3)))/ INDIRECT(ADDRESS(34,3)),1)</f>
        <v>-0.85340572441972706</v>
      </c>
      <c r="BC34" s="3">
        <f ca="1">INDIRECT(ADDRESS(34,34))</f>
        <v>37755550.861334004</v>
      </c>
      <c r="BD34" s="4">
        <f ca="1">IFERROR(INDIRECT(ADDRESS(34,34)) / INDIRECT(ADDRESS(39,34)),0)</f>
        <v>0.19376582384821198</v>
      </c>
      <c r="BE34" s="4">
        <f ca="1">IFERROR((INDIRECT(ADDRESS(34,34)) - INDIRECT(ADDRESS(34,3)))/ INDIRECT(ADDRESS(34,3)),1)</f>
        <v>-0.89054016426145943</v>
      </c>
    </row>
    <row r="35" spans="1:57" x14ac:dyDescent="0.25">
      <c r="A35" s="5"/>
      <c r="B35" s="1" t="s">
        <v>44</v>
      </c>
      <c r="C35">
        <v>11510.165392000001</v>
      </c>
      <c r="D35">
        <v>24074.092391999999</v>
      </c>
      <c r="E35">
        <v>57782.065947000003</v>
      </c>
      <c r="F35">
        <v>108575.860995</v>
      </c>
      <c r="G35">
        <v>182933.93611499999</v>
      </c>
      <c r="H35">
        <v>258186.590444</v>
      </c>
      <c r="I35">
        <v>1274197.108482</v>
      </c>
      <c r="J35">
        <v>1629242.3087770001</v>
      </c>
      <c r="K35">
        <v>2174089.5967410002</v>
      </c>
      <c r="L35">
        <v>2937793.1132800002</v>
      </c>
      <c r="M35">
        <v>3899781.9391629999</v>
      </c>
      <c r="N35">
        <v>5502020.157377</v>
      </c>
      <c r="O35">
        <v>6697233.3237920003</v>
      </c>
      <c r="P35">
        <v>7915406.9521709997</v>
      </c>
      <c r="Q35">
        <v>9196113.6951499991</v>
      </c>
      <c r="R35">
        <v>10685111.868569</v>
      </c>
      <c r="S35">
        <v>12229602.916559</v>
      </c>
      <c r="T35">
        <v>13891577.887158001</v>
      </c>
      <c r="U35">
        <v>15699141.182251999</v>
      </c>
      <c r="V35">
        <v>17556255.383411001</v>
      </c>
      <c r="W35">
        <v>19344540.320229001</v>
      </c>
      <c r="X35">
        <v>21170967.198665</v>
      </c>
      <c r="Y35">
        <v>22869695.242481999</v>
      </c>
      <c r="Z35">
        <v>24415855.922288999</v>
      </c>
      <c r="AA35">
        <v>25756047.336761001</v>
      </c>
      <c r="AB35">
        <v>26812411.156250998</v>
      </c>
      <c r="AC35">
        <v>28183995.841515999</v>
      </c>
      <c r="AD35">
        <v>28971790.845462002</v>
      </c>
      <c r="AE35">
        <v>29627952.078125998</v>
      </c>
      <c r="AF35">
        <v>30180454.291253</v>
      </c>
      <c r="AG35">
        <v>30573248.812380999</v>
      </c>
      <c r="AH35">
        <v>31069436.005495999</v>
      </c>
      <c r="AK35" s="3" t="str">
        <f ca="1">INDIRECT(ADDRESS(35,2))</f>
        <v>Grid Electricity</v>
      </c>
      <c r="AL35" s="3">
        <f ca="1">INDIRECT(ADDRESS(35,3))</f>
        <v>11510.165392000001</v>
      </c>
      <c r="AM35" s="4">
        <f ca="1">IFERROR(INDIRECT(ADDRESS(35,3)) / INDIRECT(ADDRESS(39,3)),0)</f>
        <v>2.373174755483557E-5</v>
      </c>
      <c r="AN35" s="3">
        <f ca="1">INDIRECT(ADDRESS(35,9))</f>
        <v>1274197.108482</v>
      </c>
      <c r="AO35" s="4">
        <f ca="1">IFERROR(INDIRECT(ADDRESS(35,9)) / INDIRECT(ADDRESS(39,9)),0)</f>
        <v>3.1158127569776459E-3</v>
      </c>
      <c r="AP35" s="4">
        <f ca="1">IFERROR((INDIRECT(ADDRESS(35,9)) - INDIRECT(ADDRESS(35,3)))/ INDIRECT(ADDRESS(35,3)),1)</f>
        <v>109.70189394216828</v>
      </c>
      <c r="AQ35" s="3">
        <f ca="1">INDIRECT(ADDRESS(35,14))</f>
        <v>5502020.157377</v>
      </c>
      <c r="AR35" s="4">
        <f ca="1">IFERROR(INDIRECT(ADDRESS(35,14)) / INDIRECT(ADDRESS(39,14)),0)</f>
        <v>1.7374944385982232E-2</v>
      </c>
      <c r="AS35" s="4">
        <f ca="1">IFERROR((INDIRECT(ADDRESS(35,14)) - INDIRECT(ADDRESS(35,3)))/ INDIRECT(ADDRESS(35,3)),1)</f>
        <v>477.01399632372886</v>
      </c>
      <c r="AT35" s="3">
        <f ca="1">INDIRECT(ADDRESS(35,19))</f>
        <v>12229602.916559</v>
      </c>
      <c r="AU35" s="4">
        <f ca="1">IFERROR(INDIRECT(ADDRESS(35,19)) / INDIRECT(ADDRESS(39,19)),0)</f>
        <v>4.646583734731579E-2</v>
      </c>
      <c r="AV35" s="4">
        <f ca="1">IFERROR((INDIRECT(ADDRESS(35,19)) - INDIRECT(ADDRESS(35,3)))/ INDIRECT(ADDRESS(35,3)),1)</f>
        <v>1061.5045340407562</v>
      </c>
      <c r="AW35" s="3">
        <f ca="1">INDIRECT(ADDRESS(35,24))</f>
        <v>21170967.198665</v>
      </c>
      <c r="AX35" s="4">
        <f ca="1">IFERROR(INDIRECT(ADDRESS(35,24)) / INDIRECT(ADDRESS(39,24)),0)</f>
        <v>9.4142987788193175E-2</v>
      </c>
      <c r="AY35" s="4">
        <f ca="1">IFERROR((INDIRECT(ADDRESS(35,24)) - INDIRECT(ADDRESS(35,3)))/ INDIRECT(ADDRESS(35,3)),1)</f>
        <v>1838.3278009175804</v>
      </c>
      <c r="AZ35" s="3">
        <f ca="1">INDIRECT(ADDRESS(35,29))</f>
        <v>28183995.841515999</v>
      </c>
      <c r="BA35" s="4">
        <f ca="1">IFERROR(INDIRECT(ADDRESS(35,29)) / INDIRECT(ADDRESS(39,29)),0)</f>
        <v>0.13838162218651004</v>
      </c>
      <c r="BB35" s="4">
        <f ca="1">IFERROR((INDIRECT(ADDRESS(35,29)) - INDIRECT(ADDRESS(35,3)))/ INDIRECT(ADDRESS(35,3)),1)</f>
        <v>2447.6177984119099</v>
      </c>
      <c r="BC35" s="3">
        <f ca="1">INDIRECT(ADDRESS(35,34))</f>
        <v>31069436.005495999</v>
      </c>
      <c r="BD35" s="4">
        <f ca="1">IFERROR(INDIRECT(ADDRESS(35,34)) / INDIRECT(ADDRESS(39,34)),0)</f>
        <v>0.15945191440100534</v>
      </c>
      <c r="BE35" s="4">
        <f ca="1">IFERROR((INDIRECT(ADDRESS(35,34)) - INDIRECT(ADDRESS(35,3)))/ INDIRECT(ADDRESS(35,3)),1)</f>
        <v>2698.3040453693593</v>
      </c>
    </row>
    <row r="36" spans="1:57" x14ac:dyDescent="0.25">
      <c r="A36" s="5"/>
      <c r="B36" s="1" t="s">
        <v>102</v>
      </c>
      <c r="C36">
        <v>0</v>
      </c>
      <c r="D36">
        <v>366293.145945</v>
      </c>
      <c r="E36">
        <v>931732.66584300005</v>
      </c>
      <c r="F36">
        <v>1484582.069168</v>
      </c>
      <c r="G36">
        <v>2024624.1533379999</v>
      </c>
      <c r="H36">
        <v>2551850.5223420002</v>
      </c>
      <c r="I36">
        <v>3068798.7904079999</v>
      </c>
      <c r="J36">
        <v>3559945.606526</v>
      </c>
      <c r="K36">
        <v>4036308.3516299999</v>
      </c>
      <c r="L36">
        <v>4506203.7134579998</v>
      </c>
      <c r="M36">
        <v>4972903.1963290004</v>
      </c>
      <c r="N36">
        <v>5440771.8789370004</v>
      </c>
      <c r="O36">
        <v>5907867.8536499999</v>
      </c>
      <c r="P36">
        <v>6380038.5195420003</v>
      </c>
      <c r="Q36">
        <v>6857725.5976569997</v>
      </c>
      <c r="R36">
        <v>7340850.7096920004</v>
      </c>
      <c r="S36">
        <v>7829324.3930139998</v>
      </c>
      <c r="T36">
        <v>8323050.5961039998</v>
      </c>
      <c r="U36">
        <v>8822509.3004299998</v>
      </c>
      <c r="V36">
        <v>9327920.8832920007</v>
      </c>
      <c r="W36">
        <v>9839333.5495229997</v>
      </c>
      <c r="X36">
        <v>10356701.558799</v>
      </c>
      <c r="Y36">
        <v>10873970.448098</v>
      </c>
      <c r="Z36">
        <v>11396030.871014999</v>
      </c>
      <c r="AA36">
        <v>11922566.064196</v>
      </c>
      <c r="AB36">
        <v>12453083.971170001</v>
      </c>
      <c r="AC36">
        <v>12987070.270617999</v>
      </c>
      <c r="AD36">
        <v>13529011.128306</v>
      </c>
      <c r="AE36">
        <v>14074030.621278999</v>
      </c>
      <c r="AF36">
        <v>14621943.633421</v>
      </c>
      <c r="AG36">
        <v>15172667.050399</v>
      </c>
      <c r="AH36">
        <v>15726176.711763</v>
      </c>
      <c r="AK36" s="3" t="str">
        <f ca="1">INDIRECT(ADDRESS(36,2))</f>
        <v>Hydrogen</v>
      </c>
      <c r="AL36" s="3">
        <f ca="1">INDIRECT(ADDRESS(36,3))</f>
        <v>0</v>
      </c>
      <c r="AM36" s="4">
        <f ca="1">IFERROR(INDIRECT(ADDRESS(36,3)) / INDIRECT(ADDRESS(39,3)),0)</f>
        <v>0</v>
      </c>
      <c r="AN36" s="3">
        <f ca="1">INDIRECT(ADDRESS(36,9))</f>
        <v>3068798.7904079999</v>
      </c>
      <c r="AO36" s="4">
        <f ca="1">IFERROR(INDIRECT(ADDRESS(36,9)) / INDIRECT(ADDRESS(39,9)),0)</f>
        <v>7.5041784007359403E-3</v>
      </c>
      <c r="AP36" s="4">
        <f ca="1">IFERROR((INDIRECT(ADDRESS(36,9)) - INDIRECT(ADDRESS(36,3)))/ INDIRECT(ADDRESS(36,3)),1)</f>
        <v>1</v>
      </c>
      <c r="AQ36" s="3">
        <f ca="1">INDIRECT(ADDRESS(36,14))</f>
        <v>5440771.8789370004</v>
      </c>
      <c r="AR36" s="4">
        <f ca="1">IFERROR(INDIRECT(ADDRESS(36,14)) / INDIRECT(ADDRESS(39,14)),0)</f>
        <v>1.7181527168089034E-2</v>
      </c>
      <c r="AS36" s="4">
        <f ca="1">IFERROR((INDIRECT(ADDRESS(36,14)) - INDIRECT(ADDRESS(36,3)))/ INDIRECT(ADDRESS(36,3)),1)</f>
        <v>1</v>
      </c>
      <c r="AT36" s="3">
        <f ca="1">INDIRECT(ADDRESS(36,19))</f>
        <v>7829324.3930139998</v>
      </c>
      <c r="AU36" s="4">
        <f ca="1">IFERROR(INDIRECT(ADDRESS(36,19)) / INDIRECT(ADDRESS(39,19)),0)</f>
        <v>2.9747173008583705E-2</v>
      </c>
      <c r="AV36" s="4">
        <f ca="1">IFERROR((INDIRECT(ADDRESS(36,19)) - INDIRECT(ADDRESS(36,3)))/ INDIRECT(ADDRESS(36,3)),1)</f>
        <v>1</v>
      </c>
      <c r="AW36" s="3">
        <f ca="1">INDIRECT(ADDRESS(36,24))</f>
        <v>10356701.558799</v>
      </c>
      <c r="AX36" s="4">
        <f ca="1">IFERROR(INDIRECT(ADDRESS(36,24)) / INDIRECT(ADDRESS(39,24)),0)</f>
        <v>4.605414666352408E-2</v>
      </c>
      <c r="AY36" s="4">
        <f ca="1">IFERROR((INDIRECT(ADDRESS(36,24)) - INDIRECT(ADDRESS(36,3)))/ INDIRECT(ADDRESS(36,3)),1)</f>
        <v>1</v>
      </c>
      <c r="AZ36" s="3">
        <f ca="1">INDIRECT(ADDRESS(36,29))</f>
        <v>12987070.270617999</v>
      </c>
      <c r="BA36" s="4">
        <f ca="1">IFERROR(INDIRECT(ADDRESS(36,29)) / INDIRECT(ADDRESS(39,29)),0)</f>
        <v>6.3765686796299501E-2</v>
      </c>
      <c r="BB36" s="4">
        <f ca="1">IFERROR((INDIRECT(ADDRESS(36,29)) - INDIRECT(ADDRESS(36,3)))/ INDIRECT(ADDRESS(36,3)),1)</f>
        <v>1</v>
      </c>
      <c r="BC36" s="3">
        <f ca="1">INDIRECT(ADDRESS(36,34))</f>
        <v>15726176.711763</v>
      </c>
      <c r="BD36" s="4">
        <f ca="1">IFERROR(INDIRECT(ADDRESS(36,34)) / INDIRECT(ADDRESS(39,34)),0)</f>
        <v>8.0708545287257336E-2</v>
      </c>
      <c r="BE36" s="4">
        <f ca="1">IFERROR((INDIRECT(ADDRESS(36,34)) - INDIRECT(ADDRESS(36,3)))/ INDIRECT(ADDRESS(36,3)),1)</f>
        <v>1</v>
      </c>
    </row>
    <row r="37" spans="1:57" x14ac:dyDescent="0.25">
      <c r="A37" s="5"/>
      <c r="B37" s="1" t="s">
        <v>103</v>
      </c>
      <c r="C37">
        <v>521179.24215300003</v>
      </c>
      <c r="D37">
        <v>1228416.2522390001</v>
      </c>
      <c r="E37">
        <v>2189412.7342269998</v>
      </c>
      <c r="F37">
        <v>3141598.6340760002</v>
      </c>
      <c r="G37">
        <v>4212930.0433320003</v>
      </c>
      <c r="H37">
        <v>5455964.9010509998</v>
      </c>
      <c r="I37">
        <v>6307946.256511</v>
      </c>
      <c r="J37">
        <v>7966227.4480769997</v>
      </c>
      <c r="K37">
        <v>10325841.298186</v>
      </c>
      <c r="L37">
        <v>13354585.254858</v>
      </c>
      <c r="M37">
        <v>16791125.490286998</v>
      </c>
      <c r="N37">
        <v>19939328.408013999</v>
      </c>
      <c r="O37">
        <v>23225159.357021999</v>
      </c>
      <c r="P37">
        <v>26341044.752254002</v>
      </c>
      <c r="Q37">
        <v>29395703.959906999</v>
      </c>
      <c r="R37">
        <v>32799030.693808999</v>
      </c>
      <c r="S37">
        <v>35845357.227770001</v>
      </c>
      <c r="T37">
        <v>39057816.820005998</v>
      </c>
      <c r="U37">
        <v>42357575.969149999</v>
      </c>
      <c r="V37">
        <v>45602459.660779998</v>
      </c>
      <c r="W37">
        <v>48760395.037441999</v>
      </c>
      <c r="X37">
        <v>51572113.698969997</v>
      </c>
      <c r="Y37">
        <v>54244932.256024003</v>
      </c>
      <c r="Z37">
        <v>56638904.187909998</v>
      </c>
      <c r="AA37">
        <v>58718688.492631003</v>
      </c>
      <c r="AB37">
        <v>60586181.170983002</v>
      </c>
      <c r="AC37">
        <v>61713897.723067999</v>
      </c>
      <c r="AD37">
        <v>63061654.968239002</v>
      </c>
      <c r="AE37">
        <v>64255359.934122004</v>
      </c>
      <c r="AF37">
        <v>65331250.635519996</v>
      </c>
      <c r="AG37">
        <v>66403925.749909997</v>
      </c>
      <c r="AH37">
        <v>67239645.427092999</v>
      </c>
      <c r="AK37" s="3" t="str">
        <f ca="1">INDIRECT(ADDRESS(37,2))</f>
        <v>Local Electricity</v>
      </c>
      <c r="AL37" s="3">
        <f ca="1">INDIRECT(ADDRESS(37,3))</f>
        <v>521179.24215300003</v>
      </c>
      <c r="AM37" s="4">
        <f ca="1">IFERROR(INDIRECT(ADDRESS(37,3)) / INDIRECT(ADDRESS(39,3)),0)</f>
        <v>1.0745713709893415E-3</v>
      </c>
      <c r="AN37" s="3">
        <f ca="1">INDIRECT(ADDRESS(37,9))</f>
        <v>6307946.256511</v>
      </c>
      <c r="AO37" s="4">
        <f ca="1">IFERROR(INDIRECT(ADDRESS(37,9)) / INDIRECT(ADDRESS(39,9)),0)</f>
        <v>1.5424912900470615E-2</v>
      </c>
      <c r="AP37" s="4">
        <f ca="1">IFERROR((INDIRECT(ADDRESS(37,9)) - INDIRECT(ADDRESS(37,3)))/ INDIRECT(ADDRESS(37,3)),1)</f>
        <v>11.103218521238048</v>
      </c>
      <c r="AQ37" s="3">
        <f ca="1">INDIRECT(ADDRESS(37,14))</f>
        <v>19939328.408013999</v>
      </c>
      <c r="AR37" s="4">
        <f ca="1">IFERROR(INDIRECT(ADDRESS(37,14)) / INDIRECT(ADDRESS(39,14)),0)</f>
        <v>6.2966821689770192E-2</v>
      </c>
      <c r="AS37" s="4">
        <f ca="1">IFERROR((INDIRECT(ADDRESS(37,14)) - INDIRECT(ADDRESS(37,3)))/ INDIRECT(ADDRESS(37,3)),1)</f>
        <v>37.258101619021332</v>
      </c>
      <c r="AT37" s="3">
        <f ca="1">INDIRECT(ADDRESS(37,19))</f>
        <v>35845357.227770001</v>
      </c>
      <c r="AU37" s="4">
        <f ca="1">IFERROR(INDIRECT(ADDRESS(37,19)) / INDIRECT(ADDRESS(39,19)),0)</f>
        <v>0.13619285515368401</v>
      </c>
      <c r="AV37" s="4">
        <f ca="1">IFERROR((INDIRECT(ADDRESS(37,19)) - INDIRECT(ADDRESS(37,3)))/ INDIRECT(ADDRESS(37,3)),1)</f>
        <v>67.777407710430381</v>
      </c>
      <c r="AW37" s="3">
        <f ca="1">INDIRECT(ADDRESS(37,24))</f>
        <v>51572113.698969997</v>
      </c>
      <c r="AX37" s="4">
        <f ca="1">IFERROR(INDIRECT(ADDRESS(37,24)) / INDIRECT(ADDRESS(39,24)),0)</f>
        <v>0.22933070674634076</v>
      </c>
      <c r="AY37" s="4">
        <f ca="1">IFERROR((INDIRECT(ADDRESS(37,24)) - INDIRECT(ADDRESS(37,3)))/ INDIRECT(ADDRESS(37,3)),1)</f>
        <v>97.952739341507055</v>
      </c>
      <c r="AZ37" s="3">
        <f ca="1">INDIRECT(ADDRESS(37,29))</f>
        <v>61713897.723067999</v>
      </c>
      <c r="BA37" s="4">
        <f ca="1">IFERROR(INDIRECT(ADDRESS(37,29)) / INDIRECT(ADDRESS(39,29)),0)</f>
        <v>0.30301130210183685</v>
      </c>
      <c r="BB37" s="4">
        <f ca="1">IFERROR((INDIRECT(ADDRESS(37,29)) - INDIRECT(ADDRESS(37,3)))/ INDIRECT(ADDRESS(37,3)),1)</f>
        <v>117.41204087124973</v>
      </c>
      <c r="BC37" s="3">
        <f ca="1">INDIRECT(ADDRESS(37,34))</f>
        <v>67239645.427092999</v>
      </c>
      <c r="BD37" s="4">
        <f ca="1">IFERROR(INDIRECT(ADDRESS(37,34)) / INDIRECT(ADDRESS(39,34)),0)</f>
        <v>0.34508158387871007</v>
      </c>
      <c r="BE37" s="4">
        <f ca="1">IFERROR((INDIRECT(ADDRESS(37,34)) - INDIRECT(ADDRESS(37,3)))/ INDIRECT(ADDRESS(37,3)),1)</f>
        <v>128.01443493667347</v>
      </c>
    </row>
    <row r="38" spans="1:57" x14ac:dyDescent="0.25">
      <c r="A38" s="5"/>
      <c r="B38" s="1" t="s">
        <v>46</v>
      </c>
      <c r="C38">
        <v>180038.520964</v>
      </c>
      <c r="D38">
        <v>180038.520964</v>
      </c>
      <c r="E38">
        <v>180038.520964</v>
      </c>
      <c r="F38">
        <v>180038.520964</v>
      </c>
      <c r="G38">
        <v>180038.520964</v>
      </c>
      <c r="H38">
        <v>180038.520964</v>
      </c>
      <c r="I38">
        <v>180038.520964</v>
      </c>
      <c r="J38">
        <v>180038.520964</v>
      </c>
      <c r="K38">
        <v>180038.520964</v>
      </c>
      <c r="L38">
        <v>180038.520964</v>
      </c>
      <c r="M38">
        <v>180038.520964</v>
      </c>
      <c r="N38">
        <v>180038.520964</v>
      </c>
      <c r="O38">
        <v>180038.520964</v>
      </c>
      <c r="P38">
        <v>180038.520964</v>
      </c>
      <c r="Q38">
        <v>180038.520964</v>
      </c>
      <c r="R38">
        <v>180038.520964</v>
      </c>
      <c r="S38">
        <v>180038.520964</v>
      </c>
      <c r="T38">
        <v>180038.520964</v>
      </c>
      <c r="U38">
        <v>180038.520964</v>
      </c>
      <c r="V38">
        <v>180038.520964</v>
      </c>
      <c r="W38">
        <v>180038.520964</v>
      </c>
      <c r="X38">
        <v>180038.520964</v>
      </c>
      <c r="Y38">
        <v>180038.520964</v>
      </c>
      <c r="Z38">
        <v>180038.520964</v>
      </c>
      <c r="AA38">
        <v>180038.520964</v>
      </c>
      <c r="AB38">
        <v>180038.520964</v>
      </c>
      <c r="AC38">
        <v>180038.520964</v>
      </c>
      <c r="AD38">
        <v>180038.520964</v>
      </c>
      <c r="AE38">
        <v>180038.520964</v>
      </c>
      <c r="AF38">
        <v>180038.520964</v>
      </c>
      <c r="AG38">
        <v>180038.520964</v>
      </c>
      <c r="AH38">
        <v>180038.520964</v>
      </c>
      <c r="AK38" s="3" t="str">
        <f ca="1">INDIRECT(ADDRESS(38,2))</f>
        <v>Natural Gas</v>
      </c>
      <c r="AL38" s="3">
        <f ca="1">INDIRECT(ADDRESS(38,3))</f>
        <v>180038.520964</v>
      </c>
      <c r="AM38" s="4">
        <f ca="1">IFERROR(INDIRECT(ADDRESS(38,3)) / INDIRECT(ADDRESS(39,3)),0)</f>
        <v>3.7120480758975519E-4</v>
      </c>
      <c r="AN38" s="3">
        <f ca="1">INDIRECT(ADDRESS(38,9))</f>
        <v>180038.520964</v>
      </c>
      <c r="AO38" s="4">
        <f ca="1">IFERROR(INDIRECT(ADDRESS(38,9)) / INDIRECT(ADDRESS(39,9)),0)</f>
        <v>4.4025081883549338E-4</v>
      </c>
      <c r="AP38" s="4">
        <f ca="1">IFERROR((INDIRECT(ADDRESS(38,9)) - INDIRECT(ADDRESS(38,3)))/ INDIRECT(ADDRESS(38,3)),1)</f>
        <v>0</v>
      </c>
      <c r="AQ38" s="3">
        <f ca="1">INDIRECT(ADDRESS(38,14))</f>
        <v>180038.520964</v>
      </c>
      <c r="AR38" s="4">
        <f ca="1">IFERROR(INDIRECT(ADDRESS(38,14)) / INDIRECT(ADDRESS(39,14)),0)</f>
        <v>5.6854740615405091E-4</v>
      </c>
      <c r="AS38" s="4">
        <f ca="1">IFERROR((INDIRECT(ADDRESS(38,14)) - INDIRECT(ADDRESS(38,3)))/ INDIRECT(ADDRESS(38,3)),1)</f>
        <v>0</v>
      </c>
      <c r="AT38" s="3">
        <f ca="1">INDIRECT(ADDRESS(38,19))</f>
        <v>180038.520964</v>
      </c>
      <c r="AU38" s="4">
        <f ca="1">IFERROR(INDIRECT(ADDRESS(38,19)) / INDIRECT(ADDRESS(39,19)),0)</f>
        <v>6.8404842646504658E-4</v>
      </c>
      <c r="AV38" s="4">
        <f ca="1">IFERROR((INDIRECT(ADDRESS(38,19)) - INDIRECT(ADDRESS(38,3)))/ INDIRECT(ADDRESS(38,3)),1)</f>
        <v>0</v>
      </c>
      <c r="AW38" s="3">
        <f ca="1">INDIRECT(ADDRESS(38,24))</f>
        <v>180038.520964</v>
      </c>
      <c r="AX38" s="4">
        <f ca="1">IFERROR(INDIRECT(ADDRESS(38,24)) / INDIRECT(ADDRESS(39,24)),0)</f>
        <v>8.0059470696204214E-4</v>
      </c>
      <c r="AY38" s="4">
        <f ca="1">IFERROR((INDIRECT(ADDRESS(38,24)) - INDIRECT(ADDRESS(38,3)))/ INDIRECT(ADDRESS(38,3)),1)</f>
        <v>0</v>
      </c>
      <c r="AZ38" s="3">
        <f ca="1">INDIRECT(ADDRESS(38,29))</f>
        <v>180038.520964</v>
      </c>
      <c r="BA38" s="4">
        <f ca="1">IFERROR(INDIRECT(ADDRESS(38,29)) / INDIRECT(ADDRESS(39,29)),0)</f>
        <v>8.8397765622570451E-4</v>
      </c>
      <c r="BB38" s="4">
        <f ca="1">IFERROR((INDIRECT(ADDRESS(38,29)) - INDIRECT(ADDRESS(38,3)))/ INDIRECT(ADDRESS(38,3)),1)</f>
        <v>0</v>
      </c>
      <c r="BC38" s="3">
        <f ca="1">INDIRECT(ADDRESS(38,34))</f>
        <v>180038.520964</v>
      </c>
      <c r="BD38" s="4">
        <f ca="1">IFERROR(INDIRECT(ADDRESS(38,34)) / INDIRECT(ADDRESS(39,34)),0)</f>
        <v>9.2397836988599173E-4</v>
      </c>
      <c r="BE38" s="4">
        <f ca="1">IFERROR((INDIRECT(ADDRESS(38,34)) - INDIRECT(ADDRESS(38,3)))/ INDIRECT(ADDRESS(38,3)),1)</f>
        <v>0</v>
      </c>
    </row>
    <row r="39" spans="1:57" x14ac:dyDescent="0.25">
      <c r="A39" s="1" t="s">
        <v>21</v>
      </c>
      <c r="B39" s="1"/>
      <c r="C39">
        <v>485011285.637694</v>
      </c>
      <c r="D39">
        <v>476251318.30788201</v>
      </c>
      <c r="E39">
        <v>468731671.29233998</v>
      </c>
      <c r="F39">
        <v>458008187.227112</v>
      </c>
      <c r="G39">
        <v>448366847.52575701</v>
      </c>
      <c r="H39">
        <v>434172036.95278412</v>
      </c>
      <c r="I39">
        <v>408945340.38623607</v>
      </c>
      <c r="J39">
        <v>391007330.47014213</v>
      </c>
      <c r="K39">
        <v>371579998.757043</v>
      </c>
      <c r="L39">
        <v>351567376.11194801</v>
      </c>
      <c r="M39">
        <v>332471447.83422798</v>
      </c>
      <c r="N39">
        <v>316664044.22082198</v>
      </c>
      <c r="O39">
        <v>303586307.34400803</v>
      </c>
      <c r="P39">
        <v>292817267.177616</v>
      </c>
      <c r="Q39">
        <v>283265003.06838012</v>
      </c>
      <c r="R39">
        <v>271947294.61590803</v>
      </c>
      <c r="S39">
        <v>263195577.97155401</v>
      </c>
      <c r="T39">
        <v>253924802.02806699</v>
      </c>
      <c r="U39">
        <v>244695972.163293</v>
      </c>
      <c r="V39">
        <v>235940895.09629989</v>
      </c>
      <c r="W39">
        <v>230108811.582187</v>
      </c>
      <c r="X39">
        <v>224880978.35067999</v>
      </c>
      <c r="Y39">
        <v>219722386.92099899</v>
      </c>
      <c r="Z39">
        <v>214918188.990125</v>
      </c>
      <c r="AA39">
        <v>210606466.13601199</v>
      </c>
      <c r="AB39">
        <v>206858576.84486899</v>
      </c>
      <c r="AC39">
        <v>203668633.13345</v>
      </c>
      <c r="AD39">
        <v>201040363.180655</v>
      </c>
      <c r="AE39">
        <v>198921579.27481201</v>
      </c>
      <c r="AF39">
        <v>197252128.40878299</v>
      </c>
      <c r="AG39">
        <v>195941573.939464</v>
      </c>
      <c r="AH39">
        <v>194851445.47941601</v>
      </c>
    </row>
    <row r="40" spans="1:57" x14ac:dyDescent="0.25">
      <c r="A40" s="5" t="s">
        <v>4</v>
      </c>
      <c r="B40" s="1" t="s">
        <v>41</v>
      </c>
      <c r="C40">
        <v>139372488.64840001</v>
      </c>
      <c r="D40">
        <v>131443539.46446501</v>
      </c>
      <c r="E40">
        <v>131303324.95377301</v>
      </c>
      <c r="F40">
        <v>130577858.148151</v>
      </c>
      <c r="G40">
        <v>130107408.036571</v>
      </c>
      <c r="H40">
        <v>129416234.501664</v>
      </c>
      <c r="I40">
        <v>129407993.951584</v>
      </c>
      <c r="J40">
        <v>128175566.013739</v>
      </c>
      <c r="K40">
        <v>127302388.39725199</v>
      </c>
      <c r="L40">
        <v>126556090.10579</v>
      </c>
      <c r="M40">
        <v>125898707.419964</v>
      </c>
      <c r="N40">
        <v>125543735.44286799</v>
      </c>
      <c r="O40">
        <v>125231291.746097</v>
      </c>
      <c r="P40">
        <v>125129547.473085</v>
      </c>
      <c r="Q40">
        <v>125015311.498763</v>
      </c>
      <c r="R40">
        <v>124778994.88175599</v>
      </c>
      <c r="S40">
        <v>124844714.770575</v>
      </c>
      <c r="T40">
        <v>124880019.433175</v>
      </c>
      <c r="U40">
        <v>124946135.518889</v>
      </c>
      <c r="V40">
        <v>125056503.35288399</v>
      </c>
      <c r="W40">
        <v>125241155.797318</v>
      </c>
      <c r="X40">
        <v>125493789.92674799</v>
      </c>
      <c r="Y40">
        <v>125703618.571091</v>
      </c>
      <c r="Z40">
        <v>125925022.430343</v>
      </c>
      <c r="AA40">
        <v>126159448.450859</v>
      </c>
      <c r="AB40">
        <v>126413627.910097</v>
      </c>
      <c r="AC40">
        <v>126692022.95094299</v>
      </c>
      <c r="AD40">
        <v>127031825.806051</v>
      </c>
      <c r="AE40">
        <v>127405024.90247899</v>
      </c>
      <c r="AF40">
        <v>127811161.00064</v>
      </c>
      <c r="AG40">
        <v>128245897.87281699</v>
      </c>
      <c r="AH40">
        <v>128694541.272075</v>
      </c>
      <c r="AK40" s="3" t="str">
        <f ca="1">INDIRECT(ADDRESS(40,2))</f>
        <v>Diesel</v>
      </c>
      <c r="AL40" s="3">
        <f ca="1">INDIRECT(ADDRESS(40,3))</f>
        <v>139372488.64840001</v>
      </c>
      <c r="AM40" s="4">
        <f ca="1">IFERROR(INDIRECT(ADDRESS(40,3)) / INDIRECT(ADDRESS(45,3)),0)</f>
        <v>0.28735926931092487</v>
      </c>
      <c r="AN40" s="3">
        <f ca="1">INDIRECT(ADDRESS(40,9))</f>
        <v>129407993.951584</v>
      </c>
      <c r="AO40" s="4">
        <f ca="1">IFERROR(INDIRECT(ADDRESS(40,9)) / INDIRECT(ADDRESS(45,9)),0)</f>
        <v>0.28767941200977737</v>
      </c>
      <c r="AP40" s="4">
        <f ca="1">IFERROR((INDIRECT(ADDRESS(40,9)) - INDIRECT(ADDRESS(40,3)))/ INDIRECT(ADDRESS(40,3)),1)</f>
        <v>-7.1495420605954749E-2</v>
      </c>
      <c r="AQ40" s="3">
        <f ca="1">INDIRECT(ADDRESS(40,14))</f>
        <v>125543735.44286799</v>
      </c>
      <c r="AR40" s="4">
        <f ca="1">IFERROR(INDIRECT(ADDRESS(40,14)) / INDIRECT(ADDRESS(45,14)),0)</f>
        <v>0.31011558176090148</v>
      </c>
      <c r="AS40" s="4">
        <f ca="1">IFERROR((INDIRECT(ADDRESS(40,14)) - INDIRECT(ADDRESS(40,3)))/ INDIRECT(ADDRESS(40,3)),1)</f>
        <v>-9.9221541780876915E-2</v>
      </c>
      <c r="AT40" s="3">
        <f ca="1">INDIRECT(ADDRESS(40,19))</f>
        <v>124844714.770575</v>
      </c>
      <c r="AU40" s="4">
        <f ca="1">IFERROR(INDIRECT(ADDRESS(40,19)) / INDIRECT(ADDRESS(45,19)),0)</f>
        <v>0.31191431731739916</v>
      </c>
      <c r="AV40" s="4">
        <f ca="1">IFERROR((INDIRECT(ADDRESS(40,19)) - INDIRECT(ADDRESS(40,3)))/ INDIRECT(ADDRESS(40,3)),1)</f>
        <v>-0.10423702711138885</v>
      </c>
      <c r="AW40" s="3">
        <f ca="1">INDIRECT(ADDRESS(40,24))</f>
        <v>125493789.92674799</v>
      </c>
      <c r="AX40" s="4">
        <f ca="1">IFERROR(INDIRECT(ADDRESS(40,24)) / INDIRECT(ADDRESS(45,24)),0)</f>
        <v>0.31138996091455773</v>
      </c>
      <c r="AY40" s="4">
        <f ca="1">IFERROR((INDIRECT(ADDRESS(40,24)) - INDIRECT(ADDRESS(40,3)))/ INDIRECT(ADDRESS(40,3)),1)</f>
        <v>-9.9579901716932873E-2</v>
      </c>
      <c r="AZ40" s="3">
        <f ca="1">INDIRECT(ADDRESS(40,29))</f>
        <v>126692022.95094299</v>
      </c>
      <c r="BA40" s="4">
        <f ca="1">IFERROR(INDIRECT(ADDRESS(40,29)) / INDIRECT(ADDRESS(45,29)),0)</f>
        <v>0.31107021504825882</v>
      </c>
      <c r="BB40" s="4">
        <f ca="1">IFERROR((INDIRECT(ADDRESS(40,29)) - INDIRECT(ADDRESS(40,3)))/ INDIRECT(ADDRESS(40,3)),1)</f>
        <v>-9.098255918674511E-2</v>
      </c>
      <c r="BC40" s="3">
        <f ca="1">INDIRECT(ADDRESS(40,34))</f>
        <v>128694541.272075</v>
      </c>
      <c r="BD40" s="4">
        <f ca="1">IFERROR(INDIRECT(ADDRESS(40,34)) / INDIRECT(ADDRESS(45,34)),0)</f>
        <v>0.30908060245454927</v>
      </c>
      <c r="BE40" s="4">
        <f ca="1">IFERROR((INDIRECT(ADDRESS(40,34)) - INDIRECT(ADDRESS(40,3)))/ INDIRECT(ADDRESS(40,3)),1)</f>
        <v>-7.661445583613459E-2</v>
      </c>
    </row>
    <row r="41" spans="1:57" x14ac:dyDescent="0.25">
      <c r="A41" s="5"/>
      <c r="B41" s="1" t="s">
        <v>127</v>
      </c>
      <c r="C41">
        <v>344926069.060785</v>
      </c>
      <c r="D41">
        <v>345294331.48439902</v>
      </c>
      <c r="E41">
        <v>345435423.098189</v>
      </c>
      <c r="F41">
        <v>342830262.89534998</v>
      </c>
      <c r="G41">
        <v>340987597.40715301</v>
      </c>
      <c r="H41">
        <v>336019972.15644199</v>
      </c>
      <c r="I41">
        <v>318641991.72244298</v>
      </c>
      <c r="J41">
        <v>310223378.28170902</v>
      </c>
      <c r="K41">
        <v>300516620.38596302</v>
      </c>
      <c r="L41">
        <v>290756651.69900399</v>
      </c>
      <c r="M41">
        <v>282183187.451379</v>
      </c>
      <c r="N41">
        <v>276995804.71404701</v>
      </c>
      <c r="O41">
        <v>274163847.67389703</v>
      </c>
      <c r="P41">
        <v>273341933.20543402</v>
      </c>
      <c r="Q41">
        <v>273579768.72148198</v>
      </c>
      <c r="R41">
        <v>272276432.004161</v>
      </c>
      <c r="S41">
        <v>273016068.39287001</v>
      </c>
      <c r="T41">
        <v>273188433.790757</v>
      </c>
      <c r="U41">
        <v>273305157.67487901</v>
      </c>
      <c r="V41">
        <v>273557985.41611397</v>
      </c>
      <c r="W41">
        <v>274175423.26869398</v>
      </c>
      <c r="X41">
        <v>275112903.05270302</v>
      </c>
      <c r="Y41">
        <v>275826462.34143901</v>
      </c>
      <c r="Z41">
        <v>276406494.70687902</v>
      </c>
      <c r="AA41">
        <v>276909300.22664702</v>
      </c>
      <c r="AB41">
        <v>277458827.68193501</v>
      </c>
      <c r="AC41">
        <v>278147479.83139402</v>
      </c>
      <c r="AD41">
        <v>279032468.25294799</v>
      </c>
      <c r="AE41">
        <v>280189638.95224601</v>
      </c>
      <c r="AF41">
        <v>281635685.68686998</v>
      </c>
      <c r="AG41">
        <v>283340693.35524899</v>
      </c>
      <c r="AH41">
        <v>285171233.14341599</v>
      </c>
      <c r="AK41" s="3" t="str">
        <f ca="1">INDIRECT(ADDRESS(41,2))</f>
        <v>Gas</v>
      </c>
      <c r="AL41" s="3">
        <f ca="1">INDIRECT(ADDRESS(41,3))</f>
        <v>344926069.060785</v>
      </c>
      <c r="AM41" s="4">
        <f ca="1">IFERROR(INDIRECT(ADDRESS(41,3)) / INDIRECT(ADDRESS(45,3)),0)</f>
        <v>0.7111712227629412</v>
      </c>
      <c r="AN41" s="3">
        <f ca="1">INDIRECT(ADDRESS(41,9))</f>
        <v>318641991.72244298</v>
      </c>
      <c r="AO41" s="4">
        <f ca="1">IFERROR(INDIRECT(ADDRESS(41,9)) / INDIRECT(ADDRESS(45,9)),0)</f>
        <v>0.70835454612357596</v>
      </c>
      <c r="AP41" s="4">
        <f ca="1">IFERROR((INDIRECT(ADDRESS(41,9)) - INDIRECT(ADDRESS(41,3)))/ INDIRECT(ADDRESS(41,3)),1)</f>
        <v>-7.6202060951531231E-2</v>
      </c>
      <c r="AQ41" s="3">
        <f ca="1">INDIRECT(ADDRESS(41,14))</f>
        <v>276995804.71404701</v>
      </c>
      <c r="AR41" s="4">
        <f ca="1">IFERROR(INDIRECT(ADDRESS(41,14)) / INDIRECT(ADDRESS(45,14)),0)</f>
        <v>0.68422940277507638</v>
      </c>
      <c r="AS41" s="4">
        <f ca="1">IFERROR((INDIRECT(ADDRESS(41,14)) - INDIRECT(ADDRESS(41,3)))/ INDIRECT(ADDRESS(41,3)),1)</f>
        <v>-0.19694152005300269</v>
      </c>
      <c r="AT41" s="3">
        <f ca="1">INDIRECT(ADDRESS(41,19))</f>
        <v>273016068.39287001</v>
      </c>
      <c r="AU41" s="4">
        <f ca="1">IFERROR(INDIRECT(ADDRESS(41,19)) / INDIRECT(ADDRESS(45,19)),0)</f>
        <v>0.68210833551051897</v>
      </c>
      <c r="AV41" s="4">
        <f ca="1">IFERROR((INDIRECT(ADDRESS(41,19)) - INDIRECT(ADDRESS(41,3)))/ INDIRECT(ADDRESS(41,3)),1)</f>
        <v>-0.20847946014553792</v>
      </c>
      <c r="AW41" s="3">
        <f ca="1">INDIRECT(ADDRESS(41,24))</f>
        <v>275112903.05270302</v>
      </c>
      <c r="AX41" s="4">
        <f ca="1">IFERROR(INDIRECT(ADDRESS(41,24)) / INDIRECT(ADDRESS(45,24)),0)</f>
        <v>0.68264251305723278</v>
      </c>
      <c r="AY41" s="4">
        <f ca="1">IFERROR((INDIRECT(ADDRESS(41,24)) - INDIRECT(ADDRESS(41,3)))/ INDIRECT(ADDRESS(41,3)),1)</f>
        <v>-0.20240037582018502</v>
      </c>
      <c r="AZ41" s="3">
        <f ca="1">INDIRECT(ADDRESS(41,29))</f>
        <v>278147479.83139402</v>
      </c>
      <c r="BA41" s="4">
        <f ca="1">IFERROR(INDIRECT(ADDRESS(41,29)) / INDIRECT(ADDRESS(45,29)),0)</f>
        <v>0.68294273270690531</v>
      </c>
      <c r="BB41" s="4">
        <f ca="1">IFERROR((INDIRECT(ADDRESS(41,29)) - INDIRECT(ADDRESS(41,3)))/ INDIRECT(ADDRESS(41,3)),1)</f>
        <v>-0.19360261580467217</v>
      </c>
      <c r="BC41" s="3">
        <f ca="1">INDIRECT(ADDRESS(41,34))</f>
        <v>285171233.14341599</v>
      </c>
      <c r="BD41" s="4">
        <f ca="1">IFERROR(INDIRECT(ADDRESS(41,34)) / INDIRECT(ADDRESS(45,34)),0)</f>
        <v>0.68488449992866274</v>
      </c>
      <c r="BE41" s="4">
        <f ca="1">IFERROR((INDIRECT(ADDRESS(41,34)) - INDIRECT(ADDRESS(41,3)))/ INDIRECT(ADDRESS(41,3)),1)</f>
        <v>-0.17323954689791407</v>
      </c>
    </row>
    <row r="42" spans="1:57" x14ac:dyDescent="0.25">
      <c r="A42" s="5"/>
      <c r="B42" s="1" t="s">
        <v>44</v>
      </c>
      <c r="C42">
        <v>11510.165392000001</v>
      </c>
      <c r="D42">
        <v>20095.528826999998</v>
      </c>
      <c r="E42">
        <v>30740.008329</v>
      </c>
      <c r="F42">
        <v>42918.122940000001</v>
      </c>
      <c r="G42">
        <v>58000.638051000002</v>
      </c>
      <c r="H42">
        <v>73493.774657999995</v>
      </c>
      <c r="I42">
        <v>100017.635416</v>
      </c>
      <c r="J42">
        <v>111929.207281</v>
      </c>
      <c r="K42">
        <v>125938.06780400001</v>
      </c>
      <c r="L42">
        <v>139716.916512</v>
      </c>
      <c r="M42">
        <v>153834.39425700001</v>
      </c>
      <c r="N42">
        <v>168404.348791</v>
      </c>
      <c r="O42">
        <v>177798.176465</v>
      </c>
      <c r="P42">
        <v>183640.73639000001</v>
      </c>
      <c r="Q42">
        <v>192206.82375499999</v>
      </c>
      <c r="R42">
        <v>197765.00934700001</v>
      </c>
      <c r="S42">
        <v>204585.625669</v>
      </c>
      <c r="T42">
        <v>209166.75605600001</v>
      </c>
      <c r="U42">
        <v>213600.46374499999</v>
      </c>
      <c r="V42">
        <v>218310.43282700001</v>
      </c>
      <c r="W42">
        <v>223626.85363600001</v>
      </c>
      <c r="X42">
        <v>229420.818046</v>
      </c>
      <c r="Y42">
        <v>235153.734708</v>
      </c>
      <c r="Z42">
        <v>240667.677903</v>
      </c>
      <c r="AA42">
        <v>246020.38788600001</v>
      </c>
      <c r="AB42">
        <v>251388.49503200001</v>
      </c>
      <c r="AC42">
        <v>256937.68817800001</v>
      </c>
      <c r="AD42">
        <v>262473.91390400002</v>
      </c>
      <c r="AE42">
        <v>268435.69496200001</v>
      </c>
      <c r="AF42">
        <v>274863.32816999999</v>
      </c>
      <c r="AG42">
        <v>281719.67667000002</v>
      </c>
      <c r="AH42">
        <v>288822.62318300002</v>
      </c>
      <c r="AK42" s="3" t="str">
        <f ca="1">INDIRECT(ADDRESS(42,2))</f>
        <v>Grid Electricity</v>
      </c>
      <c r="AL42" s="3">
        <f ca="1">INDIRECT(ADDRESS(42,3))</f>
        <v>11510.165392000001</v>
      </c>
      <c r="AM42" s="4">
        <f ca="1">IFERROR(INDIRECT(ADDRESS(42,3)) / INDIRECT(ADDRESS(45,3)),0)</f>
        <v>2.373174755483557E-5</v>
      </c>
      <c r="AN42" s="3">
        <f ca="1">INDIRECT(ADDRESS(42,9))</f>
        <v>100017.635416</v>
      </c>
      <c r="AO42" s="4">
        <f ca="1">IFERROR(INDIRECT(ADDRESS(42,9)) / INDIRECT(ADDRESS(45,9)),0)</f>
        <v>2.223434091548328E-4</v>
      </c>
      <c r="AP42" s="4">
        <f ca="1">IFERROR((INDIRECT(ADDRESS(42,9)) - INDIRECT(ADDRESS(42,3)))/ INDIRECT(ADDRESS(42,3)),1)</f>
        <v>7.6895046256690662</v>
      </c>
      <c r="AQ42" s="3">
        <f ca="1">INDIRECT(ADDRESS(42,14))</f>
        <v>168404.348791</v>
      </c>
      <c r="AR42" s="4">
        <f ca="1">IFERROR(INDIRECT(ADDRESS(42,14)) / INDIRECT(ADDRESS(45,14)),0)</f>
        <v>4.1598899707865565E-4</v>
      </c>
      <c r="AS42" s="4">
        <f ca="1">IFERROR((INDIRECT(ADDRESS(42,14)) - INDIRECT(ADDRESS(42,3)))/ INDIRECT(ADDRESS(42,3)),1)</f>
        <v>13.630923453806092</v>
      </c>
      <c r="AT42" s="3">
        <f ca="1">INDIRECT(ADDRESS(42,19))</f>
        <v>204585.625669</v>
      </c>
      <c r="AU42" s="4">
        <f ca="1">IFERROR(INDIRECT(ADDRESS(42,19)) / INDIRECT(ADDRESS(45,19)),0)</f>
        <v>5.1114046662501899E-4</v>
      </c>
      <c r="AV42" s="4">
        <f ca="1">IFERROR((INDIRECT(ADDRESS(42,19)) - INDIRECT(ADDRESS(42,3)))/ INDIRECT(ADDRESS(42,3)),1)</f>
        <v>16.774342826663005</v>
      </c>
      <c r="AW42" s="3">
        <f ca="1">INDIRECT(ADDRESS(42,24))</f>
        <v>229420.818046</v>
      </c>
      <c r="AX42" s="4">
        <f ca="1">IFERROR(INDIRECT(ADDRESS(42,24)) / INDIRECT(ADDRESS(45,24)),0)</f>
        <v>5.6926593424287903E-4</v>
      </c>
      <c r="AY42" s="4">
        <f ca="1">IFERROR((INDIRECT(ADDRESS(42,24)) - INDIRECT(ADDRESS(42,3)))/ INDIRECT(ADDRESS(42,3)),1)</f>
        <v>18.932017502151282</v>
      </c>
      <c r="AZ42" s="3">
        <f ca="1">INDIRECT(ADDRESS(42,29))</f>
        <v>256937.68817800001</v>
      </c>
      <c r="BA42" s="4">
        <f ca="1">IFERROR(INDIRECT(ADDRESS(42,29)) / INDIRECT(ADDRESS(45,29)),0)</f>
        <v>6.3086578029053432E-4</v>
      </c>
      <c r="BB42" s="4">
        <f ca="1">IFERROR((INDIRECT(ADDRESS(42,29)) - INDIRECT(ADDRESS(42,3)))/ INDIRECT(ADDRESS(42,3)),1)</f>
        <v>21.322675602609621</v>
      </c>
      <c r="BC42" s="3">
        <f ca="1">INDIRECT(ADDRESS(42,34))</f>
        <v>288822.62318300002</v>
      </c>
      <c r="BD42" s="4">
        <f ca="1">IFERROR(INDIRECT(ADDRESS(42,34)) / INDIRECT(ADDRESS(45,34)),0)</f>
        <v>6.9365389933034557E-4</v>
      </c>
      <c r="BE42" s="4">
        <f ca="1">IFERROR((INDIRECT(ADDRESS(42,34)) - INDIRECT(ADDRESS(42,3)))/ INDIRECT(ADDRESS(42,3)),1)</f>
        <v>24.092829976512991</v>
      </c>
    </row>
    <row r="43" spans="1:57" x14ac:dyDescent="0.25">
      <c r="A43" s="5"/>
      <c r="B43" s="1" t="s">
        <v>103</v>
      </c>
      <c r="C43">
        <v>521179.24215300003</v>
      </c>
      <c r="D43">
        <v>772442.23184500006</v>
      </c>
      <c r="E43">
        <v>935578.64057599998</v>
      </c>
      <c r="F43">
        <v>1048050.1309859999</v>
      </c>
      <c r="G43">
        <v>1176803.977459</v>
      </c>
      <c r="H43">
        <v>1274985.8928370001</v>
      </c>
      <c r="I43">
        <v>1504004.5044269999</v>
      </c>
      <c r="J43">
        <v>1584799.4963710001</v>
      </c>
      <c r="K43">
        <v>1683024.4734990001</v>
      </c>
      <c r="L43">
        <v>1770206.4804499999</v>
      </c>
      <c r="M43">
        <v>1855829.134699</v>
      </c>
      <c r="N43">
        <v>1940870.557546</v>
      </c>
      <c r="O43">
        <v>1982527.6157490001</v>
      </c>
      <c r="P43">
        <v>1984149.3284479999</v>
      </c>
      <c r="Q43">
        <v>2009618.9160809999</v>
      </c>
      <c r="R43">
        <v>2003186.9136379999</v>
      </c>
      <c r="S43">
        <v>2007828.399955</v>
      </c>
      <c r="T43">
        <v>2001474.063786</v>
      </c>
      <c r="U43">
        <v>1994190.253174</v>
      </c>
      <c r="V43">
        <v>1989714.465605</v>
      </c>
      <c r="W43">
        <v>1990628.2293440001</v>
      </c>
      <c r="X43">
        <v>1995523.325065</v>
      </c>
      <c r="Y43">
        <v>1998476.0217639999</v>
      </c>
      <c r="Z43">
        <v>1999690.5238049999</v>
      </c>
      <c r="AA43">
        <v>1999719.784333</v>
      </c>
      <c r="AB43">
        <v>1999948.1725880001</v>
      </c>
      <c r="AC43">
        <v>2001417.8373390001</v>
      </c>
      <c r="AD43">
        <v>2004639.4479400001</v>
      </c>
      <c r="AE43">
        <v>2010637.3861070001</v>
      </c>
      <c r="AF43">
        <v>2019585.40114</v>
      </c>
      <c r="AG43">
        <v>2031117.2278189999</v>
      </c>
      <c r="AH43">
        <v>2043940.9348210001</v>
      </c>
      <c r="AK43" s="3" t="str">
        <f ca="1">INDIRECT(ADDRESS(43,2))</f>
        <v>Local Electricity</v>
      </c>
      <c r="AL43" s="3">
        <f ca="1">INDIRECT(ADDRESS(43,3))</f>
        <v>521179.24215300003</v>
      </c>
      <c r="AM43" s="4">
        <f ca="1">IFERROR(INDIRECT(ADDRESS(43,3)) / INDIRECT(ADDRESS(45,3)),0)</f>
        <v>1.0745713709893415E-3</v>
      </c>
      <c r="AN43" s="3">
        <f ca="1">INDIRECT(ADDRESS(43,9))</f>
        <v>1504004.5044269999</v>
      </c>
      <c r="AO43" s="4">
        <f ca="1">IFERROR(INDIRECT(ADDRESS(43,9)) / INDIRECT(ADDRESS(45,9)),0)</f>
        <v>3.3434652549787086E-3</v>
      </c>
      <c r="AP43" s="4">
        <f ca="1">IFERROR((INDIRECT(ADDRESS(43,9)) - INDIRECT(ADDRESS(43,3)))/ INDIRECT(ADDRESS(43,3)),1)</f>
        <v>1.8857720775945193</v>
      </c>
      <c r="AQ43" s="3">
        <f ca="1">INDIRECT(ADDRESS(43,14))</f>
        <v>1940870.557546</v>
      </c>
      <c r="AR43" s="4">
        <f ca="1">IFERROR(INDIRECT(ADDRESS(43,14)) / INDIRECT(ADDRESS(45,14)),0)</f>
        <v>4.7942989743991722E-3</v>
      </c>
      <c r="AS43" s="4">
        <f ca="1">IFERROR((INDIRECT(ADDRESS(43,14)) - INDIRECT(ADDRESS(43,3)))/ INDIRECT(ADDRESS(43,3)),1)</f>
        <v>2.7239981959531461</v>
      </c>
      <c r="AT43" s="3">
        <f ca="1">INDIRECT(ADDRESS(43,19))</f>
        <v>2007828.399955</v>
      </c>
      <c r="AU43" s="4">
        <f ca="1">IFERROR(INDIRECT(ADDRESS(43,19)) / INDIRECT(ADDRESS(45,19)),0)</f>
        <v>5.0163951739033265E-3</v>
      </c>
      <c r="AV43" s="4">
        <f ca="1">IFERROR((INDIRECT(ADDRESS(43,19)) - INDIRECT(ADDRESS(43,3)))/ INDIRECT(ADDRESS(43,3)),1)</f>
        <v>2.8524719282000333</v>
      </c>
      <c r="AW43" s="3">
        <f ca="1">INDIRECT(ADDRESS(43,24))</f>
        <v>1995523.325065</v>
      </c>
      <c r="AX43" s="4">
        <f ca="1">IFERROR(INDIRECT(ADDRESS(43,24)) / INDIRECT(ADDRESS(45,24)),0)</f>
        <v>4.9515273270397519E-3</v>
      </c>
      <c r="AY43" s="4">
        <f ca="1">IFERROR((INDIRECT(ADDRESS(43,24)) - INDIRECT(ADDRESS(43,3)))/ INDIRECT(ADDRESS(43,3)),1)</f>
        <v>2.8288618649151496</v>
      </c>
      <c r="AZ43" s="3">
        <f ca="1">INDIRECT(ADDRESS(43,29))</f>
        <v>2001417.8373390001</v>
      </c>
      <c r="BA43" s="4">
        <f ca="1">IFERROR(INDIRECT(ADDRESS(43,29)) / INDIRECT(ADDRESS(45,29)),0)</f>
        <v>4.9141332071359891E-3</v>
      </c>
      <c r="BB43" s="4">
        <f ca="1">IFERROR((INDIRECT(ADDRESS(43,29)) - INDIRECT(ADDRESS(43,3)))/ INDIRECT(ADDRESS(43,3)),1)</f>
        <v>2.8401718170338288</v>
      </c>
      <c r="BC43" s="3">
        <f ca="1">INDIRECT(ADDRESS(43,34))</f>
        <v>2043940.9348210001</v>
      </c>
      <c r="BD43" s="4">
        <f ca="1">IFERROR(INDIRECT(ADDRESS(43,34)) / INDIRECT(ADDRESS(45,34)),0)</f>
        <v>4.9088523046242755E-3</v>
      </c>
      <c r="BE43" s="4">
        <f ca="1">IFERROR((INDIRECT(ADDRESS(43,34)) - INDIRECT(ADDRESS(43,3)))/ INDIRECT(ADDRESS(43,3)),1)</f>
        <v>2.9217619765082095</v>
      </c>
    </row>
    <row r="44" spans="1:57" x14ac:dyDescent="0.25">
      <c r="A44" s="5"/>
      <c r="B44" s="1" t="s">
        <v>46</v>
      </c>
      <c r="C44">
        <v>180038.520964</v>
      </c>
      <c r="D44">
        <v>180038.520964</v>
      </c>
      <c r="E44">
        <v>180038.520964</v>
      </c>
      <c r="F44">
        <v>180038.520964</v>
      </c>
      <c r="G44">
        <v>180038.520964</v>
      </c>
      <c r="H44">
        <v>180038.520964</v>
      </c>
      <c r="I44">
        <v>180038.520964</v>
      </c>
      <c r="J44">
        <v>180038.520964</v>
      </c>
      <c r="K44">
        <v>180038.520964</v>
      </c>
      <c r="L44">
        <v>180038.520964</v>
      </c>
      <c r="M44">
        <v>180038.520964</v>
      </c>
      <c r="N44">
        <v>180038.520964</v>
      </c>
      <c r="O44">
        <v>180038.520964</v>
      </c>
      <c r="P44">
        <v>180038.520964</v>
      </c>
      <c r="Q44">
        <v>180038.520964</v>
      </c>
      <c r="R44">
        <v>180038.520964</v>
      </c>
      <c r="S44">
        <v>180038.520964</v>
      </c>
      <c r="T44">
        <v>180038.520964</v>
      </c>
      <c r="U44">
        <v>180038.520964</v>
      </c>
      <c r="V44">
        <v>180038.520964</v>
      </c>
      <c r="W44">
        <v>180038.520964</v>
      </c>
      <c r="X44">
        <v>180038.520964</v>
      </c>
      <c r="Y44">
        <v>180038.520964</v>
      </c>
      <c r="Z44">
        <v>180038.520964</v>
      </c>
      <c r="AA44">
        <v>180038.520964</v>
      </c>
      <c r="AB44">
        <v>180038.520964</v>
      </c>
      <c r="AC44">
        <v>180038.520964</v>
      </c>
      <c r="AD44">
        <v>180038.520964</v>
      </c>
      <c r="AE44">
        <v>180038.520964</v>
      </c>
      <c r="AF44">
        <v>180038.520964</v>
      </c>
      <c r="AG44">
        <v>180038.520964</v>
      </c>
      <c r="AH44">
        <v>180038.520964</v>
      </c>
      <c r="AK44" s="3" t="str">
        <f ca="1">INDIRECT(ADDRESS(44,2))</f>
        <v>Natural Gas</v>
      </c>
      <c r="AL44" s="3">
        <f ca="1">INDIRECT(ADDRESS(44,3))</f>
        <v>180038.520964</v>
      </c>
      <c r="AM44" s="4">
        <f ca="1">IFERROR(INDIRECT(ADDRESS(44,3)) / INDIRECT(ADDRESS(45,3)),0)</f>
        <v>3.7120480758975519E-4</v>
      </c>
      <c r="AN44" s="3">
        <f ca="1">INDIRECT(ADDRESS(44,9))</f>
        <v>180038.520964</v>
      </c>
      <c r="AO44" s="4">
        <f ca="1">IFERROR(INDIRECT(ADDRESS(44,9)) / INDIRECT(ADDRESS(45,9)),0)</f>
        <v>4.0023320251306258E-4</v>
      </c>
      <c r="AP44" s="4">
        <f ca="1">IFERROR((INDIRECT(ADDRESS(44,9)) - INDIRECT(ADDRESS(44,3)))/ INDIRECT(ADDRESS(44,3)),1)</f>
        <v>0</v>
      </c>
      <c r="AQ44" s="3">
        <f ca="1">INDIRECT(ADDRESS(44,14))</f>
        <v>180038.520964</v>
      </c>
      <c r="AR44" s="4">
        <f ca="1">IFERROR(INDIRECT(ADDRESS(44,14)) / INDIRECT(ADDRESS(45,14)),0)</f>
        <v>4.4472749254407276E-4</v>
      </c>
      <c r="AS44" s="4">
        <f ca="1">IFERROR((INDIRECT(ADDRESS(44,14)) - INDIRECT(ADDRESS(44,3)))/ INDIRECT(ADDRESS(44,3)),1)</f>
        <v>0</v>
      </c>
      <c r="AT44" s="3">
        <f ca="1">INDIRECT(ADDRESS(44,19))</f>
        <v>180038.520964</v>
      </c>
      <c r="AU44" s="4">
        <f ca="1">IFERROR(INDIRECT(ADDRESS(44,19)) / INDIRECT(ADDRESS(45,19)),0)</f>
        <v>4.4981153155356499E-4</v>
      </c>
      <c r="AV44" s="4">
        <f ca="1">IFERROR((INDIRECT(ADDRESS(44,19)) - INDIRECT(ADDRESS(44,3)))/ INDIRECT(ADDRESS(44,3)),1)</f>
        <v>0</v>
      </c>
      <c r="AW44" s="3">
        <f ca="1">INDIRECT(ADDRESS(44,24))</f>
        <v>180038.520964</v>
      </c>
      <c r="AX44" s="4">
        <f ca="1">IFERROR(INDIRECT(ADDRESS(44,24)) / INDIRECT(ADDRESS(45,24)),0)</f>
        <v>4.4673276692670457E-4</v>
      </c>
      <c r="AY44" s="4">
        <f ca="1">IFERROR((INDIRECT(ADDRESS(44,24)) - INDIRECT(ADDRESS(44,3)))/ INDIRECT(ADDRESS(44,3)),1)</f>
        <v>0</v>
      </c>
      <c r="AZ44" s="3">
        <f ca="1">INDIRECT(ADDRESS(44,29))</f>
        <v>180038.520964</v>
      </c>
      <c r="BA44" s="4">
        <f ca="1">IFERROR(INDIRECT(ADDRESS(44,29)) / INDIRECT(ADDRESS(45,29)),0)</f>
        <v>4.4205325740932989E-4</v>
      </c>
      <c r="BB44" s="4">
        <f ca="1">IFERROR((INDIRECT(ADDRESS(44,29)) - INDIRECT(ADDRESS(44,3)))/ INDIRECT(ADDRESS(44,3)),1)</f>
        <v>0</v>
      </c>
      <c r="BC44" s="3">
        <f ca="1">INDIRECT(ADDRESS(44,34))</f>
        <v>180038.520964</v>
      </c>
      <c r="BD44" s="4">
        <f ca="1">IFERROR(INDIRECT(ADDRESS(44,34)) / INDIRECT(ADDRESS(45,34)),0)</f>
        <v>4.323914128334023E-4</v>
      </c>
      <c r="BE44" s="4">
        <f ca="1">IFERROR((INDIRECT(ADDRESS(44,34)) - INDIRECT(ADDRESS(44,3)))/ INDIRECT(ADDRESS(44,3)),1)</f>
        <v>0</v>
      </c>
    </row>
    <row r="45" spans="1:57" x14ac:dyDescent="0.25">
      <c r="A45" s="1" t="s">
        <v>21</v>
      </c>
      <c r="B45" s="1"/>
      <c r="C45">
        <v>485011285.637694</v>
      </c>
      <c r="D45">
        <v>477710447.2305001</v>
      </c>
      <c r="E45">
        <v>477885105.22183102</v>
      </c>
      <c r="F45">
        <v>474679127.81839103</v>
      </c>
      <c r="G45">
        <v>472509848.58019799</v>
      </c>
      <c r="H45">
        <v>466964724.84656501</v>
      </c>
      <c r="I45">
        <v>449834046.33483398</v>
      </c>
      <c r="J45">
        <v>440275711.520064</v>
      </c>
      <c r="K45">
        <v>429808009.84548211</v>
      </c>
      <c r="L45">
        <v>419402703.72272003</v>
      </c>
      <c r="M45">
        <v>410271596.92126298</v>
      </c>
      <c r="N45">
        <v>404828853.58421612</v>
      </c>
      <c r="O45">
        <v>401735503.733172</v>
      </c>
      <c r="P45">
        <v>400819309.26432103</v>
      </c>
      <c r="Q45">
        <v>400976944.48104513</v>
      </c>
      <c r="R45">
        <v>399436417.32986611</v>
      </c>
      <c r="S45">
        <v>400253235.710033</v>
      </c>
      <c r="T45">
        <v>400459132.56473809</v>
      </c>
      <c r="U45">
        <v>400639122.43165112</v>
      </c>
      <c r="V45">
        <v>401002552.18839401</v>
      </c>
      <c r="W45">
        <v>401810872.66995609</v>
      </c>
      <c r="X45">
        <v>403011675.64352608</v>
      </c>
      <c r="Y45">
        <v>403943749.18996602</v>
      </c>
      <c r="Z45">
        <v>404751913.8598941</v>
      </c>
      <c r="AA45">
        <v>405494527.37068897</v>
      </c>
      <c r="AB45">
        <v>406303830.78061599</v>
      </c>
      <c r="AC45">
        <v>407277896.82881802</v>
      </c>
      <c r="AD45">
        <v>408511445.94180697</v>
      </c>
      <c r="AE45">
        <v>410053775.45675808</v>
      </c>
      <c r="AF45">
        <v>411921333.93778402</v>
      </c>
      <c r="AG45">
        <v>414079466.65351897</v>
      </c>
      <c r="AH45">
        <v>416378576.49445897</v>
      </c>
    </row>
    <row r="48" spans="1:57" x14ac:dyDescent="0.25">
      <c r="A48" s="1" t="s">
        <v>0</v>
      </c>
      <c r="B48" s="1" t="s">
        <v>138</v>
      </c>
      <c r="C48" s="1">
        <v>2019</v>
      </c>
      <c r="D48" s="1">
        <v>2020</v>
      </c>
      <c r="E48" s="1">
        <v>2021</v>
      </c>
      <c r="F48" s="1">
        <v>2022</v>
      </c>
      <c r="G48" s="1">
        <v>2023</v>
      </c>
      <c r="H48" s="1">
        <v>2024</v>
      </c>
      <c r="I48" s="1">
        <v>2025</v>
      </c>
      <c r="J48" s="1">
        <v>2026</v>
      </c>
      <c r="K48" s="1">
        <v>2027</v>
      </c>
      <c r="L48" s="1">
        <v>2028</v>
      </c>
      <c r="M48" s="1">
        <v>2029</v>
      </c>
      <c r="N48" s="1">
        <v>2030</v>
      </c>
      <c r="O48" s="1">
        <v>2031</v>
      </c>
      <c r="P48" s="1">
        <v>2032</v>
      </c>
      <c r="Q48" s="1">
        <v>2033</v>
      </c>
      <c r="R48" s="1">
        <v>2034</v>
      </c>
      <c r="S48" s="1">
        <v>2035</v>
      </c>
      <c r="T48" s="1">
        <v>2036</v>
      </c>
      <c r="U48" s="1">
        <v>2037</v>
      </c>
      <c r="V48" s="1">
        <v>2038</v>
      </c>
      <c r="W48" s="1">
        <v>2039</v>
      </c>
      <c r="X48" s="1">
        <v>2040</v>
      </c>
      <c r="Y48" s="1">
        <v>2041</v>
      </c>
      <c r="Z48" s="1">
        <v>2042</v>
      </c>
      <c r="AA48" s="1">
        <v>2043</v>
      </c>
      <c r="AB48" s="1">
        <v>2044</v>
      </c>
      <c r="AC48" s="1">
        <v>2045</v>
      </c>
      <c r="AD48" s="1">
        <v>2046</v>
      </c>
      <c r="AE48" s="1">
        <v>2047</v>
      </c>
      <c r="AF48" s="1">
        <v>2048</v>
      </c>
      <c r="AG48" s="1">
        <v>2049</v>
      </c>
      <c r="AH48" s="1">
        <v>2050</v>
      </c>
      <c r="AL48" s="2">
        <f ca="1">INDIRECT(ADDRESS(48,3))</f>
        <v>2019</v>
      </c>
      <c r="AM48" s="2" t="str">
        <f ca="1">CONCATENATE(INDIRECT(ADDRESS(48,3))," Share")</f>
        <v>2019 Share</v>
      </c>
      <c r="AN48" s="2">
        <f ca="1">INDIRECT(ADDRESS(48,9))</f>
        <v>2025</v>
      </c>
      <c r="AO48" s="2" t="str">
        <f ca="1">CONCATENATE(INDIRECT(ADDRESS(48,9))," Share")</f>
        <v>2025 Share</v>
      </c>
      <c r="AP48" s="2" t="str">
        <f ca="1">CONCATENATE("% change ",INDIRECT(ADDRESS(48,3)),"-",INDIRECT(ADDRESS(48,9)))</f>
        <v>% change 2019-2025</v>
      </c>
      <c r="AQ48" s="2">
        <f ca="1">INDIRECT(ADDRESS(48,14))</f>
        <v>2030</v>
      </c>
      <c r="AR48" s="2" t="str">
        <f ca="1">CONCATENATE(INDIRECT(ADDRESS(48,14))," Share")</f>
        <v>2030 Share</v>
      </c>
      <c r="AS48" s="2" t="str">
        <f ca="1">CONCATENATE("% change ",INDIRECT(ADDRESS(48,3)),"-",INDIRECT(ADDRESS(48,14)))</f>
        <v>% change 2019-2030</v>
      </c>
      <c r="AT48" s="2">
        <f ca="1">INDIRECT(ADDRESS(48,19))</f>
        <v>2035</v>
      </c>
      <c r="AU48" s="2" t="str">
        <f ca="1">CONCATENATE(INDIRECT(ADDRESS(48,19))," Share")</f>
        <v>2035 Share</v>
      </c>
      <c r="AV48" s="2" t="str">
        <f ca="1">CONCATENATE("% change ",INDIRECT(ADDRESS(48,3)),"-",INDIRECT(ADDRESS(48,19)))</f>
        <v>% change 2019-2035</v>
      </c>
      <c r="AW48" s="2">
        <f ca="1">INDIRECT(ADDRESS(48,24))</f>
        <v>2040</v>
      </c>
      <c r="AX48" s="2" t="str">
        <f ca="1">CONCATENATE(INDIRECT(ADDRESS(48,24))," Share")</f>
        <v>2040 Share</v>
      </c>
      <c r="AY48" s="2" t="str">
        <f ca="1">CONCATENATE("% change ",INDIRECT(ADDRESS(48,3)),"-",INDIRECT(ADDRESS(48,24)))</f>
        <v>% change 2019-2040</v>
      </c>
      <c r="AZ48" s="2">
        <f ca="1">INDIRECT(ADDRESS(48,29))</f>
        <v>2045</v>
      </c>
      <c r="BA48" s="2" t="str">
        <f ca="1">CONCATENATE(INDIRECT(ADDRESS(48,29))," Share")</f>
        <v>2045 Share</v>
      </c>
      <c r="BB48" s="2" t="str">
        <f ca="1">CONCATENATE("% change ",INDIRECT(ADDRESS(48,3)),"-",INDIRECT(ADDRESS(48,29)))</f>
        <v>% change 2019-2045</v>
      </c>
      <c r="BC48" s="2">
        <f ca="1">INDIRECT(ADDRESS(48,34))</f>
        <v>2050</v>
      </c>
      <c r="BD48" s="2" t="str">
        <f ca="1">CONCATENATE(INDIRECT(ADDRESS(48,34))," Share")</f>
        <v>2050 Share</v>
      </c>
      <c r="BE48" s="2" t="str">
        <f ca="1">CONCATENATE("% change ",INDIRECT(ADDRESS(48,3)),"-",INDIRECT(ADDRESS(48,34)))</f>
        <v>% change 2019-2050</v>
      </c>
    </row>
    <row r="49" spans="1:57" x14ac:dyDescent="0.25">
      <c r="A49" s="5" t="s">
        <v>5</v>
      </c>
      <c r="B49" s="1" t="s">
        <v>139</v>
      </c>
      <c r="C49">
        <v>119614708.408329</v>
      </c>
      <c r="D49">
        <v>124773412.887197</v>
      </c>
      <c r="E49">
        <v>120378131.96361201</v>
      </c>
      <c r="F49">
        <v>116145941.95926</v>
      </c>
      <c r="G49">
        <v>111558820.023425</v>
      </c>
      <c r="H49">
        <v>105665948.241997</v>
      </c>
      <c r="I49">
        <v>92924011.33256799</v>
      </c>
      <c r="J49">
        <v>85575952.683916003</v>
      </c>
      <c r="K49">
        <v>77461322.350368991</v>
      </c>
      <c r="L49">
        <v>69489197.198802993</v>
      </c>
      <c r="M49">
        <v>62143757.351873003</v>
      </c>
      <c r="N49">
        <v>56191586.351815</v>
      </c>
      <c r="O49">
        <v>51932080.815701</v>
      </c>
      <c r="P49">
        <v>48588563.437445998</v>
      </c>
      <c r="Q49">
        <v>45645887.556890003</v>
      </c>
      <c r="R49">
        <v>42100467.922370002</v>
      </c>
      <c r="S49">
        <v>39500784.315098003</v>
      </c>
      <c r="T49">
        <v>36892238.425425999</v>
      </c>
      <c r="U49">
        <v>34248277.129532002</v>
      </c>
      <c r="V49">
        <v>31759741.558146998</v>
      </c>
      <c r="W49">
        <v>29738718.645842001</v>
      </c>
      <c r="X49">
        <v>27954840.940274999</v>
      </c>
      <c r="Y49">
        <v>26649341.876993001</v>
      </c>
      <c r="Z49">
        <v>25452523.742541</v>
      </c>
      <c r="AA49">
        <v>24409717.316594001</v>
      </c>
      <c r="AB49">
        <v>23544898.215502001</v>
      </c>
      <c r="AC49">
        <v>22857888.107097998</v>
      </c>
      <c r="AD49">
        <v>22331746.372928999</v>
      </c>
      <c r="AE49">
        <v>21967830.812022001</v>
      </c>
      <c r="AF49">
        <v>21748604.085471001</v>
      </c>
      <c r="AG49">
        <v>21645303.7161</v>
      </c>
      <c r="AH49">
        <v>21612245.686979</v>
      </c>
      <c r="AK49" s="3" t="str">
        <f ca="1">INDIRECT(ADDRESS(49,2))</f>
        <v>Car</v>
      </c>
      <c r="AL49" s="3">
        <f ca="1">INDIRECT(ADDRESS(49,3))</f>
        <v>119614708.408329</v>
      </c>
      <c r="AM49" s="4">
        <f ca="1">IFERROR(INDIRECT(ADDRESS(49,3)) / INDIRECT(ADDRESS(53,3)),0)</f>
        <v>0.24662252601206855</v>
      </c>
      <c r="AN49" s="3">
        <f ca="1">INDIRECT(ADDRESS(49,9))</f>
        <v>92924011.33256799</v>
      </c>
      <c r="AO49" s="4">
        <f ca="1">IFERROR(INDIRECT(ADDRESS(49,9)) / INDIRECT(ADDRESS(53,9)),0)</f>
        <v>0.25724605292845987</v>
      </c>
      <c r="AP49" s="4">
        <f ca="1">IFERROR((INDIRECT(ADDRESS(49,9)) - INDIRECT(ADDRESS(49,3)))/ INDIRECT(ADDRESS(49,3)),1)</f>
        <v>-0.22313892188448023</v>
      </c>
      <c r="AQ49" s="3">
        <f ca="1">INDIRECT(ADDRESS(49,14))</f>
        <v>56191586.351815</v>
      </c>
      <c r="AR49" s="4">
        <f ca="1">IFERROR(INDIRECT(ADDRESS(49,14)) / INDIRECT(ADDRESS(53,14)),0)</f>
        <v>0.22854412247444972</v>
      </c>
      <c r="AS49" s="4">
        <f ca="1">IFERROR((INDIRECT(ADDRESS(49,14)) - INDIRECT(ADDRESS(49,3)))/ INDIRECT(ADDRESS(49,3)),1)</f>
        <v>-0.53022845518300599</v>
      </c>
      <c r="AT49" s="3">
        <f ca="1">INDIRECT(ADDRESS(49,19))</f>
        <v>39500784.315098003</v>
      </c>
      <c r="AU49" s="4">
        <f ca="1">IFERROR(INDIRECT(ADDRESS(49,19)) / INDIRECT(ADDRESS(53,19)),0)</f>
        <v>0.22065871758163635</v>
      </c>
      <c r="AV49" s="4">
        <f ca="1">IFERROR((INDIRECT(ADDRESS(49,19)) - INDIRECT(ADDRESS(49,3)))/ INDIRECT(ADDRESS(49,3)),1)</f>
        <v>-0.66976649577028535</v>
      </c>
      <c r="AW49" s="3">
        <f ca="1">INDIRECT(ADDRESS(49,24))</f>
        <v>27954840.940274999</v>
      </c>
      <c r="AX49" s="4">
        <f ca="1">IFERROR(INDIRECT(ADDRESS(49,24)) / INDIRECT(ADDRESS(53,24)),0)</f>
        <v>0.18697043127648377</v>
      </c>
      <c r="AY49" s="4">
        <f ca="1">IFERROR((INDIRECT(ADDRESS(49,24)) - INDIRECT(ADDRESS(49,3)))/ INDIRECT(ADDRESS(49,3)),1)</f>
        <v>-0.76629261307191843</v>
      </c>
      <c r="AZ49" s="3">
        <f ca="1">INDIRECT(ADDRESS(49,29))</f>
        <v>22857888.107097998</v>
      </c>
      <c r="BA49" s="4">
        <f ca="1">IFERROR(INDIRECT(ADDRESS(49,29)) / INDIRECT(ADDRESS(53,29)),0)</f>
        <v>0.16864343563026904</v>
      </c>
      <c r="BB49" s="4">
        <f ca="1">IFERROR((INDIRECT(ADDRESS(49,29)) - INDIRECT(ADDRESS(49,3)))/ INDIRECT(ADDRESS(49,3)),1)</f>
        <v>-0.80890403520386489</v>
      </c>
      <c r="BC49" s="3">
        <f ca="1">INDIRECT(ADDRESS(49,34))</f>
        <v>21612245.686979</v>
      </c>
      <c r="BD49" s="4">
        <f ca="1">IFERROR(INDIRECT(ADDRESS(49,34)) / INDIRECT(ADDRESS(53,34)),0)</f>
        <v>0.16636720029371962</v>
      </c>
      <c r="BE49" s="4">
        <f ca="1">IFERROR((INDIRECT(ADDRESS(49,34)) - INDIRECT(ADDRESS(49,3)))/ INDIRECT(ADDRESS(49,3)),1)</f>
        <v>-0.81931782491830996</v>
      </c>
    </row>
    <row r="50" spans="1:57" x14ac:dyDescent="0.25">
      <c r="A50" s="5"/>
      <c r="B50" s="1" t="s">
        <v>140</v>
      </c>
      <c r="C50">
        <v>247762338.83683699</v>
      </c>
      <c r="D50">
        <v>227311673.84916401</v>
      </c>
      <c r="E50">
        <v>213408701.26876199</v>
      </c>
      <c r="F50">
        <v>200265557.99615601</v>
      </c>
      <c r="G50">
        <v>187852531.28660199</v>
      </c>
      <c r="H50">
        <v>176169573.046855</v>
      </c>
      <c r="I50">
        <v>165324673.48738599</v>
      </c>
      <c r="J50">
        <v>154547267.69662401</v>
      </c>
      <c r="K50">
        <v>144536680.56734201</v>
      </c>
      <c r="L50">
        <v>135442106.429795</v>
      </c>
      <c r="M50">
        <v>127177755.42319</v>
      </c>
      <c r="N50">
        <v>119678882.07100999</v>
      </c>
      <c r="O50">
        <v>112756972.99629</v>
      </c>
      <c r="P50">
        <v>106422716.571605</v>
      </c>
      <c r="Q50">
        <v>100589155.026261</v>
      </c>
      <c r="R50">
        <v>95188058.951187</v>
      </c>
      <c r="S50">
        <v>90169283.616560996</v>
      </c>
      <c r="T50">
        <v>89094341.066147</v>
      </c>
      <c r="U50">
        <v>88099393.852053002</v>
      </c>
      <c r="V50">
        <v>87177253.830907002</v>
      </c>
      <c r="W50">
        <v>86562837.091995001</v>
      </c>
      <c r="X50">
        <v>85964244.150011003</v>
      </c>
      <c r="Y50">
        <v>85332130.43373099</v>
      </c>
      <c r="Z50">
        <v>84709562.348278001</v>
      </c>
      <c r="AA50">
        <v>84094033.544900998</v>
      </c>
      <c r="AB50">
        <v>83483314.998611003</v>
      </c>
      <c r="AC50">
        <v>82875648.553270996</v>
      </c>
      <c r="AD50">
        <v>82299808.219337001</v>
      </c>
      <c r="AE50">
        <v>81724530.334456995</v>
      </c>
      <c r="AF50">
        <v>81149461.877672002</v>
      </c>
      <c r="AG50">
        <v>80574465.087949991</v>
      </c>
      <c r="AH50">
        <v>79999505.226181999</v>
      </c>
      <c r="AK50" s="3" t="str">
        <f ca="1">INDIRECT(ADDRESS(50,2))</f>
        <v>Heavy Truck</v>
      </c>
      <c r="AL50" s="3">
        <f ca="1">INDIRECT(ADDRESS(50,3))</f>
        <v>247762338.83683699</v>
      </c>
      <c r="AM50" s="4">
        <f ca="1">IFERROR(INDIRECT(ADDRESS(50,3)) / INDIRECT(ADDRESS(53,3)),0)</f>
        <v>0.51083829629052546</v>
      </c>
      <c r="AN50" s="3">
        <f ca="1">INDIRECT(ADDRESS(50,9))</f>
        <v>165324673.48738599</v>
      </c>
      <c r="AO50" s="4">
        <f ca="1">IFERROR(INDIRECT(ADDRESS(50,9)) / INDIRECT(ADDRESS(53,9)),0)</f>
        <v>0.45767632172171246</v>
      </c>
      <c r="AP50" s="4">
        <f ca="1">IFERROR((INDIRECT(ADDRESS(50,9)) - INDIRECT(ADDRESS(50,3)))/ INDIRECT(ADDRESS(50,3)),1)</f>
        <v>-0.33272879864013566</v>
      </c>
      <c r="AQ50" s="3">
        <f ca="1">INDIRECT(ADDRESS(50,14))</f>
        <v>119678882.07100999</v>
      </c>
      <c r="AR50" s="4">
        <f ca="1">IFERROR(INDIRECT(ADDRESS(50,14)) / INDIRECT(ADDRESS(53,14)),0)</f>
        <v>0.48676157512963081</v>
      </c>
      <c r="AS50" s="4">
        <f ca="1">IFERROR((INDIRECT(ADDRESS(50,14)) - INDIRECT(ADDRESS(50,3)))/ INDIRECT(ADDRESS(50,3)),1)</f>
        <v>-0.5169609609238307</v>
      </c>
      <c r="AT50" s="3">
        <f ca="1">INDIRECT(ADDRESS(50,19))</f>
        <v>90169283.616560996</v>
      </c>
      <c r="AU50" s="4">
        <f ca="1">IFERROR(INDIRECT(ADDRESS(50,19)) / INDIRECT(ADDRESS(53,19)),0)</f>
        <v>0.50370236523329748</v>
      </c>
      <c r="AV50" s="4">
        <f ca="1">IFERROR((INDIRECT(ADDRESS(50,19)) - INDIRECT(ADDRESS(50,3)))/ INDIRECT(ADDRESS(50,3)),1)</f>
        <v>-0.63606541639913383</v>
      </c>
      <c r="AW50" s="3">
        <f ca="1">INDIRECT(ADDRESS(50,24))</f>
        <v>85964244.150011003</v>
      </c>
      <c r="AX50" s="4">
        <f ca="1">IFERROR(INDIRECT(ADDRESS(50,24)) / INDIRECT(ADDRESS(53,24)),0)</f>
        <v>0.57495486514924854</v>
      </c>
      <c r="AY50" s="4">
        <f ca="1">IFERROR((INDIRECT(ADDRESS(50,24)) - INDIRECT(ADDRESS(50,3)))/ INDIRECT(ADDRESS(50,3)),1)</f>
        <v>-0.65303748522239113</v>
      </c>
      <c r="AZ50" s="3">
        <f ca="1">INDIRECT(ADDRESS(50,29))</f>
        <v>82875648.553270996</v>
      </c>
      <c r="BA50" s="4">
        <f ca="1">IFERROR(INDIRECT(ADDRESS(50,29)) / INDIRECT(ADDRESS(53,29)),0)</f>
        <v>0.61144905586313947</v>
      </c>
      <c r="BB50" s="4">
        <f ca="1">IFERROR((INDIRECT(ADDRESS(50,29)) - INDIRECT(ADDRESS(50,3)))/ INDIRECT(ADDRESS(50,3)),1)</f>
        <v>-0.66550344599447597</v>
      </c>
      <c r="BC50" s="3">
        <f ca="1">INDIRECT(ADDRESS(50,34))</f>
        <v>79999505.226181999</v>
      </c>
      <c r="BD50" s="4">
        <f ca="1">IFERROR(INDIRECT(ADDRESS(50,34)) / INDIRECT(ADDRESS(53,34)),0)</f>
        <v>0.61582187719535819</v>
      </c>
      <c r="BE50" s="4">
        <f ca="1">IFERROR((INDIRECT(ADDRESS(50,34)) - INDIRECT(ADDRESS(50,3)))/ INDIRECT(ADDRESS(50,3)),1)</f>
        <v>-0.67711192265235531</v>
      </c>
    </row>
    <row r="51" spans="1:57" x14ac:dyDescent="0.25">
      <c r="A51" s="5"/>
      <c r="B51" s="1" t="s">
        <v>141</v>
      </c>
      <c r="C51">
        <v>113751015.381651</v>
      </c>
      <c r="D51">
        <v>120516032.891012</v>
      </c>
      <c r="E51">
        <v>119889021.62207501</v>
      </c>
      <c r="F51">
        <v>115925287.71712101</v>
      </c>
      <c r="G51">
        <v>113375374.641293</v>
      </c>
      <c r="H51">
        <v>107882008.40263499</v>
      </c>
      <c r="I51">
        <v>99297034.638347998</v>
      </c>
      <c r="J51">
        <v>92979994.380114987</v>
      </c>
      <c r="K51">
        <v>86359225.264682993</v>
      </c>
      <c r="L51">
        <v>79136786.278158993</v>
      </c>
      <c r="M51">
        <v>72146341.844420001</v>
      </c>
      <c r="N51">
        <v>66519378.144216999</v>
      </c>
      <c r="O51">
        <v>61502030.439906999</v>
      </c>
      <c r="P51">
        <v>57355366.993701003</v>
      </c>
      <c r="Q51">
        <v>53727010.750354007</v>
      </c>
      <c r="R51">
        <v>49369921.73804</v>
      </c>
      <c r="S51">
        <v>46067993.273452997</v>
      </c>
      <c r="T51">
        <v>42830767.554067001</v>
      </c>
      <c r="U51">
        <v>39701830.585514002</v>
      </c>
      <c r="V51">
        <v>36810716.973255001</v>
      </c>
      <c r="W51">
        <v>34492266.223357998</v>
      </c>
      <c r="X51">
        <v>32442373.760983001</v>
      </c>
      <c r="Y51">
        <v>30973162.562107</v>
      </c>
      <c r="Z51">
        <v>29620866.040950999</v>
      </c>
      <c r="AA51">
        <v>28436499.921328001</v>
      </c>
      <c r="AB51">
        <v>27447492.955077998</v>
      </c>
      <c r="AC51">
        <v>26652896.752723001</v>
      </c>
      <c r="AD51">
        <v>26042289.389031999</v>
      </c>
      <c r="AE51">
        <v>25613500.220725</v>
      </c>
      <c r="AF51">
        <v>25344450.956241999</v>
      </c>
      <c r="AG51">
        <v>25203035.762409002</v>
      </c>
      <c r="AH51">
        <v>25141829.009559002</v>
      </c>
      <c r="AK51" s="3" t="str">
        <f ca="1">INDIRECT(ADDRESS(51,2))</f>
        <v>Light Truck</v>
      </c>
      <c r="AL51" s="3">
        <f ca="1">INDIRECT(ADDRESS(51,3))</f>
        <v>113751015.381651</v>
      </c>
      <c r="AM51" s="4">
        <f ca="1">IFERROR(INDIRECT(ADDRESS(51,3)) / INDIRECT(ADDRESS(53,3)),0)</f>
        <v>0.23453271861930158</v>
      </c>
      <c r="AN51" s="3">
        <f ca="1">INDIRECT(ADDRESS(51,9))</f>
        <v>99297034.638347998</v>
      </c>
      <c r="AO51" s="4">
        <f ca="1">IFERROR(INDIRECT(ADDRESS(51,9)) / INDIRECT(ADDRESS(53,9)),0)</f>
        <v>0.27488880281756634</v>
      </c>
      <c r="AP51" s="4">
        <f ca="1">IFERROR((INDIRECT(ADDRESS(51,9)) - INDIRECT(ADDRESS(51,3)))/ INDIRECT(ADDRESS(51,3)),1)</f>
        <v>-0.12706682832507313</v>
      </c>
      <c r="AQ51" s="3">
        <f ca="1">INDIRECT(ADDRESS(51,14))</f>
        <v>66519378.144216999</v>
      </c>
      <c r="AR51" s="4">
        <f ca="1">IFERROR(INDIRECT(ADDRESS(51,14)) / INDIRECT(ADDRESS(53,14)),0)</f>
        <v>0.2705496301587349</v>
      </c>
      <c r="AS51" s="4">
        <f ca="1">IFERROR((INDIRECT(ADDRESS(51,14)) - INDIRECT(ADDRESS(51,3)))/ INDIRECT(ADDRESS(51,3)),1)</f>
        <v>-0.415219478076438</v>
      </c>
      <c r="AT51" s="3">
        <f ca="1">INDIRECT(ADDRESS(51,19))</f>
        <v>46067993.273452997</v>
      </c>
      <c r="AU51" s="4">
        <f ca="1">IFERROR(INDIRECT(ADDRESS(51,19)) / INDIRECT(ADDRESS(53,19)),0)</f>
        <v>0.2573443665368994</v>
      </c>
      <c r="AV51" s="4">
        <f ca="1">IFERROR((INDIRECT(ADDRESS(51,19)) - INDIRECT(ADDRESS(51,3)))/ INDIRECT(ADDRESS(51,3)),1)</f>
        <v>-0.59501026765441822</v>
      </c>
      <c r="AW51" s="3">
        <f ca="1">INDIRECT(ADDRESS(51,24))</f>
        <v>32442373.760983001</v>
      </c>
      <c r="AX51" s="4">
        <f ca="1">IFERROR(INDIRECT(ADDRESS(51,24)) / INDIRECT(ADDRESS(53,24)),0)</f>
        <v>0.21698440805595234</v>
      </c>
      <c r="AY51" s="4">
        <f ca="1">IFERROR((INDIRECT(ADDRESS(51,24)) - INDIRECT(ADDRESS(51,3)))/ INDIRECT(ADDRESS(51,3)),1)</f>
        <v>-0.71479486444904095</v>
      </c>
      <c r="AZ51" s="3">
        <f ca="1">INDIRECT(ADDRESS(51,29))</f>
        <v>26652896.752723001</v>
      </c>
      <c r="BA51" s="4">
        <f ca="1">IFERROR(INDIRECT(ADDRESS(51,29)) / INDIRECT(ADDRESS(53,29)),0)</f>
        <v>0.19664266693484594</v>
      </c>
      <c r="BB51" s="4">
        <f ca="1">IFERROR((INDIRECT(ADDRESS(51,29)) - INDIRECT(ADDRESS(51,3)))/ INDIRECT(ADDRESS(51,3)),1)</f>
        <v>-0.7656909113004513</v>
      </c>
      <c r="BC51" s="3">
        <f ca="1">INDIRECT(ADDRESS(51,34))</f>
        <v>25141829.009559002</v>
      </c>
      <c r="BD51" s="4">
        <f ca="1">IFERROR(INDIRECT(ADDRESS(51,34)) / INDIRECT(ADDRESS(53,34)),0)</f>
        <v>0.19353730117475956</v>
      </c>
      <c r="BE51" s="4">
        <f ca="1">IFERROR((INDIRECT(ADDRESS(51,34)) - INDIRECT(ADDRESS(51,3)))/ INDIRECT(ADDRESS(51,3)),1)</f>
        <v>-0.77897490474960107</v>
      </c>
    </row>
    <row r="52" spans="1:57" x14ac:dyDescent="0.25">
      <c r="A52" s="5"/>
      <c r="B52" s="1" t="s">
        <v>142</v>
      </c>
      <c r="C52">
        <v>3883223.0108770002</v>
      </c>
      <c r="D52">
        <v>3883223.010677</v>
      </c>
      <c r="E52">
        <v>3842672.1616139999</v>
      </c>
      <c r="F52">
        <v>3802121.696393</v>
      </c>
      <c r="G52">
        <v>3761571.0708420002</v>
      </c>
      <c r="H52">
        <v>3721020.1904870002</v>
      </c>
      <c r="I52">
        <v>3680469.5336440001</v>
      </c>
      <c r="J52">
        <v>3639918.9084930001</v>
      </c>
      <c r="K52">
        <v>3599368.2504509999</v>
      </c>
      <c r="L52">
        <v>3558817.4027880002</v>
      </c>
      <c r="M52">
        <v>3518266.7142540002</v>
      </c>
      <c r="N52">
        <v>3477716.0875039999</v>
      </c>
      <c r="O52">
        <v>3437165.4326599999</v>
      </c>
      <c r="P52">
        <v>3396614.7746179998</v>
      </c>
      <c r="Q52">
        <v>3356063.925357</v>
      </c>
      <c r="R52">
        <v>3315513.2681149999</v>
      </c>
      <c r="S52">
        <v>3274962.8349830001</v>
      </c>
      <c r="T52">
        <v>3234411.9528310001</v>
      </c>
      <c r="U52">
        <v>3193861.1043679998</v>
      </c>
      <c r="V52">
        <v>3153310.6720349998</v>
      </c>
      <c r="W52">
        <v>3153310.671236</v>
      </c>
      <c r="X52">
        <v>3153310.6736329999</v>
      </c>
      <c r="Y52">
        <v>3153310.6704370002</v>
      </c>
      <c r="Z52">
        <v>3153310.6720349998</v>
      </c>
      <c r="AA52">
        <v>3153310.671236</v>
      </c>
      <c r="AB52">
        <v>3153310.672834001</v>
      </c>
      <c r="AC52">
        <v>3153310.672834001</v>
      </c>
      <c r="AD52">
        <v>3153310.6720349998</v>
      </c>
      <c r="AE52">
        <v>3153310.672834001</v>
      </c>
      <c r="AF52">
        <v>3153310.6736329999</v>
      </c>
      <c r="AG52">
        <v>3153310.6704370002</v>
      </c>
      <c r="AH52">
        <v>3153310.671236</v>
      </c>
      <c r="AK52" s="3" t="str">
        <f ca="1">INDIRECT(ADDRESS(52,2))</f>
        <v>Urban Bus</v>
      </c>
      <c r="AL52" s="3">
        <f ca="1">INDIRECT(ADDRESS(52,3))</f>
        <v>3883223.0108770002</v>
      </c>
      <c r="AM52" s="4">
        <f ca="1">IFERROR(INDIRECT(ADDRESS(52,3)) / INDIRECT(ADDRESS(53,3)),0)</f>
        <v>8.0064590781043984E-3</v>
      </c>
      <c r="AN52" s="3">
        <f ca="1">INDIRECT(ADDRESS(52,9))</f>
        <v>3680469.5336440001</v>
      </c>
      <c r="AO52" s="4">
        <f ca="1">IFERROR(INDIRECT(ADDRESS(52,9)) / INDIRECT(ADDRESS(53,9)),0)</f>
        <v>1.0188822532261251E-2</v>
      </c>
      <c r="AP52" s="4">
        <f ca="1">IFERROR((INDIRECT(ADDRESS(52,9)) - INDIRECT(ADDRESS(52,3)))/ INDIRECT(ADDRESS(52,3)),1)</f>
        <v>-5.2212679175283723E-2</v>
      </c>
      <c r="AQ52" s="3">
        <f ca="1">INDIRECT(ADDRESS(52,14))</f>
        <v>3477716.0875039999</v>
      </c>
      <c r="AR52" s="4">
        <f ca="1">IFERROR(INDIRECT(ADDRESS(52,14)) / INDIRECT(ADDRESS(53,14)),0)</f>
        <v>1.4144672237184592E-2</v>
      </c>
      <c r="AS52" s="4">
        <f ca="1">IFERROR((INDIRECT(ADDRESS(52,14)) - INDIRECT(ADDRESS(52,3)))/ INDIRECT(ADDRESS(52,3)),1)</f>
        <v>-0.10442535034355886</v>
      </c>
      <c r="AT52" s="3">
        <f ca="1">INDIRECT(ADDRESS(52,19))</f>
        <v>3274962.8349830001</v>
      </c>
      <c r="AU52" s="4">
        <f ca="1">IFERROR(INDIRECT(ADDRESS(52,19)) / INDIRECT(ADDRESS(53,19)),0)</f>
        <v>1.8294550648166694E-2</v>
      </c>
      <c r="AV52" s="4">
        <f ca="1">IFERROR((INDIRECT(ADDRESS(52,19)) - INDIRECT(ADDRESS(52,3)))/ INDIRECT(ADDRESS(52,3)),1)</f>
        <v>-0.15663797165144749</v>
      </c>
      <c r="AW52" s="3">
        <f ca="1">INDIRECT(ADDRESS(52,24))</f>
        <v>3153310.6736329999</v>
      </c>
      <c r="AX52" s="4">
        <f ca="1">IFERROR(INDIRECT(ADDRESS(52,24)) / INDIRECT(ADDRESS(53,24)),0)</f>
        <v>2.1090295518315396E-2</v>
      </c>
      <c r="AY52" s="4">
        <f ca="1">IFERROR((INDIRECT(ADDRESS(52,24)) - INDIRECT(ADDRESS(52,3)))/ INDIRECT(ADDRESS(52,3)),1)</f>
        <v>-0.18796559847309785</v>
      </c>
      <c r="AZ52" s="3">
        <f ca="1">INDIRECT(ADDRESS(52,29))</f>
        <v>3153310.672834001</v>
      </c>
      <c r="BA52" s="4">
        <f ca="1">IFERROR(INDIRECT(ADDRESS(52,29)) / INDIRECT(ADDRESS(53,29)),0)</f>
        <v>2.3264841571745527E-2</v>
      </c>
      <c r="BB52" s="4">
        <f ca="1">IFERROR((INDIRECT(ADDRESS(52,29)) - INDIRECT(ADDRESS(52,3)))/ INDIRECT(ADDRESS(52,3)),1)</f>
        <v>-0.18796559867885448</v>
      </c>
      <c r="BC52" s="3">
        <f ca="1">INDIRECT(ADDRESS(52,34))</f>
        <v>3153310.671236</v>
      </c>
      <c r="BD52" s="4">
        <f ca="1">IFERROR(INDIRECT(ADDRESS(52,34)) / INDIRECT(ADDRESS(53,34)),0)</f>
        <v>2.4273621336162673E-2</v>
      </c>
      <c r="BE52" s="4">
        <f ca="1">IFERROR((INDIRECT(ADDRESS(52,34)) - INDIRECT(ADDRESS(52,3)))/ INDIRECT(ADDRESS(52,3)),1)</f>
        <v>-0.18796559909036856</v>
      </c>
    </row>
    <row r="53" spans="1:57" x14ac:dyDescent="0.25">
      <c r="A53" s="1" t="s">
        <v>21</v>
      </c>
      <c r="B53" s="1"/>
      <c r="C53">
        <v>485011285.637694</v>
      </c>
      <c r="D53">
        <v>476484342.63805002</v>
      </c>
      <c r="E53">
        <v>457518527.01606297</v>
      </c>
      <c r="F53">
        <v>436138909.36892998</v>
      </c>
      <c r="G53">
        <v>416548297.02216202</v>
      </c>
      <c r="H53">
        <v>393438549.88197398</v>
      </c>
      <c r="I53">
        <v>361226188.99194598</v>
      </c>
      <c r="J53">
        <v>336743133.66914803</v>
      </c>
      <c r="K53">
        <v>311956596.43284512</v>
      </c>
      <c r="L53">
        <v>287626907.30954498</v>
      </c>
      <c r="M53">
        <v>264986121.33373699</v>
      </c>
      <c r="N53">
        <v>245867562.65454599</v>
      </c>
      <c r="O53">
        <v>229628249.684558</v>
      </c>
      <c r="P53">
        <v>215763261.77737001</v>
      </c>
      <c r="Q53">
        <v>203318117.25886199</v>
      </c>
      <c r="R53">
        <v>189973961.87971199</v>
      </c>
      <c r="S53">
        <v>179013024.040095</v>
      </c>
      <c r="T53">
        <v>172051758.99847099</v>
      </c>
      <c r="U53">
        <v>165243362.67146701</v>
      </c>
      <c r="V53">
        <v>158901023.03434399</v>
      </c>
      <c r="W53">
        <v>153947132.632431</v>
      </c>
      <c r="X53">
        <v>149514769.52490199</v>
      </c>
      <c r="Y53">
        <v>146107945.543268</v>
      </c>
      <c r="Z53">
        <v>142936262.80380499</v>
      </c>
      <c r="AA53">
        <v>140093561.454059</v>
      </c>
      <c r="AB53">
        <v>137629016.84202501</v>
      </c>
      <c r="AC53">
        <v>135539744.085926</v>
      </c>
      <c r="AD53">
        <v>133827154.65333299</v>
      </c>
      <c r="AE53">
        <v>132459172.040038</v>
      </c>
      <c r="AF53">
        <v>131395827.593018</v>
      </c>
      <c r="AG53">
        <v>130576115.23689599</v>
      </c>
      <c r="AH53">
        <v>129906890.59395599</v>
      </c>
    </row>
    <row r="54" spans="1:57" x14ac:dyDescent="0.25">
      <c r="A54" s="5" t="s">
        <v>2</v>
      </c>
      <c r="B54" s="1" t="s">
        <v>139</v>
      </c>
      <c r="C54">
        <v>119614708.408329</v>
      </c>
      <c r="D54">
        <v>124773412.87909</v>
      </c>
      <c r="E54">
        <v>120378131.956333</v>
      </c>
      <c r="F54">
        <v>116145941.96645799</v>
      </c>
      <c r="G54">
        <v>111558820.03638101</v>
      </c>
      <c r="H54">
        <v>105665948.221424</v>
      </c>
      <c r="I54">
        <v>92924011.332566991</v>
      </c>
      <c r="J54">
        <v>85575952.730646998</v>
      </c>
      <c r="K54">
        <v>77461322.421677992</v>
      </c>
      <c r="L54">
        <v>69489197.304150999</v>
      </c>
      <c r="M54">
        <v>62143757.207393013</v>
      </c>
      <c r="N54">
        <v>56191586.259318002</v>
      </c>
      <c r="O54">
        <v>51932080.595160998</v>
      </c>
      <c r="P54">
        <v>48588563.311085999</v>
      </c>
      <c r="Q54">
        <v>45645887.273581013</v>
      </c>
      <c r="R54">
        <v>42100467.603777997</v>
      </c>
      <c r="S54">
        <v>39500784.315098003</v>
      </c>
      <c r="T54">
        <v>36892238.616924003</v>
      </c>
      <c r="U54">
        <v>34248276.920702003</v>
      </c>
      <c r="V54">
        <v>31759741.558148</v>
      </c>
      <c r="W54">
        <v>29738719.367265999</v>
      </c>
      <c r="X54">
        <v>27954840.43313</v>
      </c>
      <c r="Y54">
        <v>26649342.414839</v>
      </c>
      <c r="Z54">
        <v>25452523.742541</v>
      </c>
      <c r="AA54">
        <v>24409718.194927</v>
      </c>
      <c r="AB54">
        <v>23544898.516617998</v>
      </c>
      <c r="AC54">
        <v>22857887.79958</v>
      </c>
      <c r="AD54">
        <v>22331746.372928001</v>
      </c>
      <c r="AE54">
        <v>21967831.127562001</v>
      </c>
      <c r="AF54">
        <v>21748603.449549999</v>
      </c>
      <c r="AG54">
        <v>21645304.355533</v>
      </c>
      <c r="AH54">
        <v>21612246.007883999</v>
      </c>
      <c r="AK54" s="3" t="str">
        <f ca="1">INDIRECT(ADDRESS(54,2))</f>
        <v>Car</v>
      </c>
      <c r="AL54" s="3">
        <f ca="1">INDIRECT(ADDRESS(54,3))</f>
        <v>119614708.408329</v>
      </c>
      <c r="AM54" s="4">
        <f ca="1">IFERROR(INDIRECT(ADDRESS(54,3)) / INDIRECT(ADDRESS(58,3)),0)</f>
        <v>0.24662252601206855</v>
      </c>
      <c r="AN54" s="3">
        <f ca="1">INDIRECT(ADDRESS(54,9))</f>
        <v>92924011.332566991</v>
      </c>
      <c r="AO54" s="4">
        <f ca="1">IFERROR(INDIRECT(ADDRESS(54,9)) / INDIRECT(ADDRESS(58,9)),0)</f>
        <v>0.25091545775815288</v>
      </c>
      <c r="AP54" s="4">
        <f ca="1">IFERROR((INDIRECT(ADDRESS(54,9)) - INDIRECT(ADDRESS(54,3)))/ INDIRECT(ADDRESS(54,3)),1)</f>
        <v>-0.22313892188448858</v>
      </c>
      <c r="AQ54" s="3">
        <f ca="1">INDIRECT(ADDRESS(54,14))</f>
        <v>56191586.259318002</v>
      </c>
      <c r="AR54" s="4">
        <f ca="1">IFERROR(INDIRECT(ADDRESS(54,14)) / INDIRECT(ADDRESS(58,14)),0)</f>
        <v>0.21602101954416064</v>
      </c>
      <c r="AS54" s="4">
        <f ca="1">IFERROR((INDIRECT(ADDRESS(54,14)) - INDIRECT(ADDRESS(54,3)))/ INDIRECT(ADDRESS(54,3)),1)</f>
        <v>-0.53022845595629708</v>
      </c>
      <c r="AT54" s="3">
        <f ca="1">INDIRECT(ADDRESS(54,19))</f>
        <v>39500784.315098003</v>
      </c>
      <c r="AU54" s="4">
        <f ca="1">IFERROR(INDIRECT(ADDRESS(54,19)) / INDIRECT(ADDRESS(58,19)),0)</f>
        <v>0.19976340769402232</v>
      </c>
      <c r="AV54" s="4">
        <f ca="1">IFERROR((INDIRECT(ADDRESS(54,19)) - INDIRECT(ADDRESS(54,3)))/ INDIRECT(ADDRESS(54,3)),1)</f>
        <v>-0.66976649577028535</v>
      </c>
      <c r="AW54" s="3">
        <f ca="1">INDIRECT(ADDRESS(54,24))</f>
        <v>27954840.43313</v>
      </c>
      <c r="AX54" s="4">
        <f ca="1">IFERROR(INDIRECT(ADDRESS(54,24)) / INDIRECT(ADDRESS(58,24)),0)</f>
        <v>0.16803106183703445</v>
      </c>
      <c r="AY54" s="4">
        <f ca="1">IFERROR((INDIRECT(ADDRESS(54,24)) - INDIRECT(ADDRESS(54,3)))/ INDIRECT(ADDRESS(54,3)),1)</f>
        <v>-0.76629261731173981</v>
      </c>
      <c r="AZ54" s="3">
        <f ca="1">INDIRECT(ADDRESS(54,29))</f>
        <v>22857887.79958</v>
      </c>
      <c r="BA54" s="4">
        <f ca="1">IFERROR(INDIRECT(ADDRESS(54,29)) / INDIRECT(ADDRESS(58,29)),0)</f>
        <v>0.15128262157156899</v>
      </c>
      <c r="BB54" s="4">
        <f ca="1">IFERROR((INDIRECT(ADDRESS(54,29)) - INDIRECT(ADDRESS(54,3)))/ INDIRECT(ADDRESS(54,3)),1)</f>
        <v>-0.8089040377747696</v>
      </c>
      <c r="BC54" s="3">
        <f ca="1">INDIRECT(ADDRESS(54,34))</f>
        <v>21612246.007883999</v>
      </c>
      <c r="BD54" s="4">
        <f ca="1">IFERROR(INDIRECT(ADDRESS(54,34)) / INDIRECT(ADDRESS(58,34)),0)</f>
        <v>0.14973426462067041</v>
      </c>
      <c r="BE54" s="4">
        <f ca="1">IFERROR((INDIRECT(ADDRESS(54,34)) - INDIRECT(ADDRESS(54,3)))/ INDIRECT(ADDRESS(54,3)),1)</f>
        <v>-0.81931782223548777</v>
      </c>
    </row>
    <row r="55" spans="1:57" x14ac:dyDescent="0.25">
      <c r="A55" s="5"/>
      <c r="B55" s="1" t="s">
        <v>140</v>
      </c>
      <c r="C55">
        <v>247762338.83683699</v>
      </c>
      <c r="D55">
        <v>227455068.00186199</v>
      </c>
      <c r="E55">
        <v>215704845.73983401</v>
      </c>
      <c r="F55">
        <v>204531803.46288401</v>
      </c>
      <c r="G55">
        <v>193906919.675942</v>
      </c>
      <c r="H55">
        <v>183832152.18316001</v>
      </c>
      <c r="I55">
        <v>174438407.60266101</v>
      </c>
      <c r="J55">
        <v>164912976.41869</v>
      </c>
      <c r="K55">
        <v>155988598.50666499</v>
      </c>
      <c r="L55">
        <v>147883883.35150599</v>
      </c>
      <c r="M55">
        <v>140541326.97128299</v>
      </c>
      <c r="N55">
        <v>133932239.22503</v>
      </c>
      <c r="O55">
        <v>127882832.768796</v>
      </c>
      <c r="P55">
        <v>122429353.78747401</v>
      </c>
      <c r="Q55">
        <v>117489274.35270999</v>
      </c>
      <c r="R55">
        <v>112994351.435799</v>
      </c>
      <c r="S55">
        <v>108894097.407113</v>
      </c>
      <c r="T55">
        <v>107363708.16632</v>
      </c>
      <c r="U55">
        <v>105959498.56370001</v>
      </c>
      <c r="V55">
        <v>104668501.070398</v>
      </c>
      <c r="W55">
        <v>103719909.834144</v>
      </c>
      <c r="X55">
        <v>102816575.50652499</v>
      </c>
      <c r="Y55">
        <v>101894831.81978799</v>
      </c>
      <c r="Z55">
        <v>101001680.065311</v>
      </c>
      <c r="AA55">
        <v>100130617.59328</v>
      </c>
      <c r="AB55">
        <v>99275163.787949994</v>
      </c>
      <c r="AC55">
        <v>98429848.124772996</v>
      </c>
      <c r="AD55">
        <v>97626234.673161</v>
      </c>
      <c r="AE55">
        <v>96825431.069599003</v>
      </c>
      <c r="AF55">
        <v>96026088.093327001</v>
      </c>
      <c r="AG55">
        <v>95227654.330935001</v>
      </c>
      <c r="AH55">
        <v>94429957.581724003</v>
      </c>
      <c r="AK55" s="3" t="str">
        <f ca="1">INDIRECT(ADDRESS(55,2))</f>
        <v>Heavy Truck</v>
      </c>
      <c r="AL55" s="3">
        <f ca="1">INDIRECT(ADDRESS(55,3))</f>
        <v>247762338.83683699</v>
      </c>
      <c r="AM55" s="4">
        <f ca="1">IFERROR(INDIRECT(ADDRESS(55,3)) / INDIRECT(ADDRESS(58,3)),0)</f>
        <v>0.51083829629052546</v>
      </c>
      <c r="AN55" s="3">
        <f ca="1">INDIRECT(ADDRESS(55,9))</f>
        <v>174438407.60266101</v>
      </c>
      <c r="AO55" s="4">
        <f ca="1">IFERROR(INDIRECT(ADDRESS(55,9)) / INDIRECT(ADDRESS(58,9)),0)</f>
        <v>0.47102242215500617</v>
      </c>
      <c r="AP55" s="4">
        <f ca="1">IFERROR((INDIRECT(ADDRESS(55,9)) - INDIRECT(ADDRESS(55,3)))/ INDIRECT(ADDRESS(55,3)),1)</f>
        <v>-0.29594462006779487</v>
      </c>
      <c r="AQ55" s="3">
        <f ca="1">INDIRECT(ADDRESS(55,14))</f>
        <v>133932239.22503</v>
      </c>
      <c r="AR55" s="4">
        <f ca="1">IFERROR(INDIRECT(ADDRESS(55,14)) / INDIRECT(ADDRESS(58,14)),0)</f>
        <v>0.51488453687184732</v>
      </c>
      <c r="AS55" s="4">
        <f ca="1">IFERROR((INDIRECT(ADDRESS(55,14)) - INDIRECT(ADDRESS(55,3)))/ INDIRECT(ADDRESS(55,3)),1)</f>
        <v>-0.45943261653971307</v>
      </c>
      <c r="AT55" s="3">
        <f ca="1">INDIRECT(ADDRESS(55,19))</f>
        <v>108894097.407113</v>
      </c>
      <c r="AU55" s="4">
        <f ca="1">IFERROR(INDIRECT(ADDRESS(55,19)) / INDIRECT(ADDRESS(58,19)),0)</f>
        <v>0.55069934313925084</v>
      </c>
      <c r="AV55" s="4">
        <f ca="1">IFERROR((INDIRECT(ADDRESS(55,19)) - INDIRECT(ADDRESS(55,3)))/ INDIRECT(ADDRESS(55,3)),1)</f>
        <v>-0.56048970994407332</v>
      </c>
      <c r="AW55" s="3">
        <f ca="1">INDIRECT(ADDRESS(55,24))</f>
        <v>102816575.50652499</v>
      </c>
      <c r="AX55" s="4">
        <f ca="1">IFERROR(INDIRECT(ADDRESS(55,24)) / INDIRECT(ADDRESS(58,24)),0)</f>
        <v>0.61801026545421966</v>
      </c>
      <c r="AY55" s="4">
        <f ca="1">IFERROR((INDIRECT(ADDRESS(55,24)) - INDIRECT(ADDRESS(55,3)))/ INDIRECT(ADDRESS(55,3)),1)</f>
        <v>-0.58501935367088032</v>
      </c>
      <c r="AZ55" s="3">
        <f ca="1">INDIRECT(ADDRESS(55,29))</f>
        <v>98429848.124772996</v>
      </c>
      <c r="BA55" s="4">
        <f ca="1">IFERROR(INDIRECT(ADDRESS(55,29)) / INDIRECT(ADDRESS(58,29)),0)</f>
        <v>0.6514480076099004</v>
      </c>
      <c r="BB55" s="4">
        <f ca="1">IFERROR((INDIRECT(ADDRESS(55,29)) - INDIRECT(ADDRESS(55,3)))/ INDIRECT(ADDRESS(55,3)),1)</f>
        <v>-0.60272473779966362</v>
      </c>
      <c r="BC55" s="3">
        <f ca="1">INDIRECT(ADDRESS(55,34))</f>
        <v>94429957.581724003</v>
      </c>
      <c r="BD55" s="4">
        <f ca="1">IFERROR(INDIRECT(ADDRESS(55,34)) / INDIRECT(ADDRESS(58,34)),0)</f>
        <v>0.65423095089249805</v>
      </c>
      <c r="BE55" s="4">
        <f ca="1">IFERROR((INDIRECT(ADDRESS(55,34)) - INDIRECT(ADDRESS(55,3)))/ INDIRECT(ADDRESS(55,3)),1)</f>
        <v>-0.61886879973347964</v>
      </c>
    </row>
    <row r="56" spans="1:57" x14ac:dyDescent="0.25">
      <c r="A56" s="5"/>
      <c r="B56" s="1" t="s">
        <v>141</v>
      </c>
      <c r="C56">
        <v>113751015.381651</v>
      </c>
      <c r="D56">
        <v>120516032.87709799</v>
      </c>
      <c r="E56">
        <v>119889021.609377</v>
      </c>
      <c r="F56">
        <v>115925287.729177</v>
      </c>
      <c r="G56">
        <v>113375374.661901</v>
      </c>
      <c r="H56">
        <v>107882008.37329499</v>
      </c>
      <c r="I56">
        <v>99297034.638347</v>
      </c>
      <c r="J56">
        <v>92979994.436992988</v>
      </c>
      <c r="K56">
        <v>86359225.34691</v>
      </c>
      <c r="L56">
        <v>79136786.396361992</v>
      </c>
      <c r="M56">
        <v>72146341.683584005</v>
      </c>
      <c r="N56">
        <v>66519378.040803999</v>
      </c>
      <c r="O56">
        <v>61502030.192247987</v>
      </c>
      <c r="P56">
        <v>57355366.851236999</v>
      </c>
      <c r="Q56">
        <v>53727010.429868013</v>
      </c>
      <c r="R56">
        <v>49369921.377237998</v>
      </c>
      <c r="S56">
        <v>46067993.273452997</v>
      </c>
      <c r="T56">
        <v>42830767.771003999</v>
      </c>
      <c r="U56">
        <v>39701830.348676987</v>
      </c>
      <c r="V56">
        <v>36810716.973255001</v>
      </c>
      <c r="W56">
        <v>34492267.045027003</v>
      </c>
      <c r="X56">
        <v>32442373.182287998</v>
      </c>
      <c r="Y56">
        <v>30973163.177646</v>
      </c>
      <c r="Z56">
        <v>29620866.040950999</v>
      </c>
      <c r="AA56">
        <v>28436500.932985</v>
      </c>
      <c r="AB56">
        <v>27447493.302894998</v>
      </c>
      <c r="AC56">
        <v>26652896.396703001</v>
      </c>
      <c r="AD56">
        <v>26042289.389031999</v>
      </c>
      <c r="AE56">
        <v>25613500.587338001</v>
      </c>
      <c r="AF56">
        <v>25344450.216743998</v>
      </c>
      <c r="AG56">
        <v>25203036.506115001</v>
      </c>
      <c r="AH56">
        <v>25141829.382681999</v>
      </c>
      <c r="AK56" s="3" t="str">
        <f ca="1">INDIRECT(ADDRESS(56,2))</f>
        <v>Light Truck</v>
      </c>
      <c r="AL56" s="3">
        <f ca="1">INDIRECT(ADDRESS(56,3))</f>
        <v>113751015.381651</v>
      </c>
      <c r="AM56" s="4">
        <f ca="1">IFERROR(INDIRECT(ADDRESS(56,3)) / INDIRECT(ADDRESS(58,3)),0)</f>
        <v>0.23453271861930158</v>
      </c>
      <c r="AN56" s="3">
        <f ca="1">INDIRECT(ADDRESS(56,9))</f>
        <v>99297034.638347</v>
      </c>
      <c r="AO56" s="4">
        <f ca="1">IFERROR(INDIRECT(ADDRESS(56,9)) / INDIRECT(ADDRESS(58,9)),0)</f>
        <v>0.26812403535980378</v>
      </c>
      <c r="AP56" s="4">
        <f ca="1">IFERROR((INDIRECT(ADDRESS(56,9)) - INDIRECT(ADDRESS(56,3)))/ INDIRECT(ADDRESS(56,3)),1)</f>
        <v>-0.1270668283250819</v>
      </c>
      <c r="AQ56" s="3">
        <f ca="1">INDIRECT(ADDRESS(56,14))</f>
        <v>66519378.040803999</v>
      </c>
      <c r="AR56" s="4">
        <f ca="1">IFERROR(INDIRECT(ADDRESS(56,14)) / INDIRECT(ADDRESS(58,14)),0)</f>
        <v>0.25572483035990262</v>
      </c>
      <c r="AS56" s="4">
        <f ca="1">IFERROR((INDIRECT(ADDRESS(56,14)) - INDIRECT(ADDRESS(56,3)))/ INDIRECT(ADDRESS(56,3)),1)</f>
        <v>-0.41521947898555517</v>
      </c>
      <c r="AT56" s="3">
        <f ca="1">INDIRECT(ADDRESS(56,19))</f>
        <v>46067993.273452997</v>
      </c>
      <c r="AU56" s="4">
        <f ca="1">IFERROR(INDIRECT(ADDRESS(56,19)) / INDIRECT(ADDRESS(58,19)),0)</f>
        <v>0.23297510369718938</v>
      </c>
      <c r="AV56" s="4">
        <f ca="1">IFERROR((INDIRECT(ADDRESS(56,19)) - INDIRECT(ADDRESS(56,3)))/ INDIRECT(ADDRESS(56,3)),1)</f>
        <v>-0.59501026765441822</v>
      </c>
      <c r="AW56" s="3">
        <f ca="1">INDIRECT(ADDRESS(56,24))</f>
        <v>32442373.182287998</v>
      </c>
      <c r="AX56" s="4">
        <f ca="1">IFERROR(INDIRECT(ADDRESS(56,24)) / INDIRECT(ADDRESS(58,24)),0)</f>
        <v>0.19500474085599415</v>
      </c>
      <c r="AY56" s="4">
        <f ca="1">IFERROR((INDIRECT(ADDRESS(56,24)) - INDIRECT(ADDRESS(56,3)))/ INDIRECT(ADDRESS(56,3)),1)</f>
        <v>-0.71479486953642402</v>
      </c>
      <c r="AZ56" s="3">
        <f ca="1">INDIRECT(ADDRESS(56,29))</f>
        <v>26652896.396703001</v>
      </c>
      <c r="BA56" s="4">
        <f ca="1">IFERROR(INDIRECT(ADDRESS(56,29)) / INDIRECT(ADDRESS(58,29)),0)</f>
        <v>0.17639950264532939</v>
      </c>
      <c r="BB56" s="4">
        <f ca="1">IFERROR((INDIRECT(ADDRESS(56,29)) - INDIRECT(ADDRESS(56,3)))/ INDIRECT(ADDRESS(56,3)),1)</f>
        <v>-0.76569091443026938</v>
      </c>
      <c r="BC56" s="3">
        <f ca="1">INDIRECT(ADDRESS(56,34))</f>
        <v>25141829.382681999</v>
      </c>
      <c r="BD56" s="4">
        <f ca="1">IFERROR(INDIRECT(ADDRESS(56,34)) / INDIRECT(ADDRESS(58,34)),0)</f>
        <v>0.17418797345083686</v>
      </c>
      <c r="BE56" s="4">
        <f ca="1">IFERROR((INDIRECT(ADDRESS(56,34)) - INDIRECT(ADDRESS(56,3)))/ INDIRECT(ADDRESS(56,3)),1)</f>
        <v>-0.77897490146942827</v>
      </c>
    </row>
    <row r="57" spans="1:57" x14ac:dyDescent="0.25">
      <c r="A57" s="5"/>
      <c r="B57" s="1" t="s">
        <v>142</v>
      </c>
      <c r="C57">
        <v>3883223.0108770002</v>
      </c>
      <c r="D57">
        <v>3883223.0090780002</v>
      </c>
      <c r="E57">
        <v>3842672.1604160001</v>
      </c>
      <c r="F57">
        <v>3802121.6973910001</v>
      </c>
      <c r="G57">
        <v>3761571.0722400001</v>
      </c>
      <c r="H57">
        <v>3721020.1888890001</v>
      </c>
      <c r="I57">
        <v>3680469.5336440001</v>
      </c>
      <c r="J57">
        <v>3639918.9100919999</v>
      </c>
      <c r="K57">
        <v>3599368.252049</v>
      </c>
      <c r="L57">
        <v>3558817.4043859998</v>
      </c>
      <c r="M57">
        <v>3518266.7126560002</v>
      </c>
      <c r="N57">
        <v>3477716.0867050001</v>
      </c>
      <c r="O57">
        <v>3437165.4310610001</v>
      </c>
      <c r="P57">
        <v>3396614.773819</v>
      </c>
      <c r="Q57">
        <v>3356063.9237589999</v>
      </c>
      <c r="R57">
        <v>3315513.2665169998</v>
      </c>
      <c r="S57">
        <v>3274962.8349830001</v>
      </c>
      <c r="T57">
        <v>3234411.9536299999</v>
      </c>
      <c r="U57">
        <v>3193861.1035679998</v>
      </c>
      <c r="V57">
        <v>3153310.6720349998</v>
      </c>
      <c r="W57">
        <v>3153310.6736329999</v>
      </c>
      <c r="X57">
        <v>3153310.6720349998</v>
      </c>
      <c r="Y57">
        <v>3153310.6720349998</v>
      </c>
      <c r="Z57">
        <v>3153310.6720349998</v>
      </c>
      <c r="AA57">
        <v>3153310.6736329999</v>
      </c>
      <c r="AB57">
        <v>3153310.6736329999</v>
      </c>
      <c r="AC57">
        <v>3153310.6720349998</v>
      </c>
      <c r="AD57">
        <v>3153310.6720349998</v>
      </c>
      <c r="AE57">
        <v>3153310.6736329999</v>
      </c>
      <c r="AF57">
        <v>3153310.6720349998</v>
      </c>
      <c r="AG57">
        <v>3153310.6720349998</v>
      </c>
      <c r="AH57">
        <v>3153310.6720349998</v>
      </c>
      <c r="AK57" s="3" t="str">
        <f ca="1">INDIRECT(ADDRESS(57,2))</f>
        <v>Urban Bus</v>
      </c>
      <c r="AL57" s="3">
        <f ca="1">INDIRECT(ADDRESS(57,3))</f>
        <v>3883223.0108770002</v>
      </c>
      <c r="AM57" s="4">
        <f ca="1">IFERROR(INDIRECT(ADDRESS(57,3)) / INDIRECT(ADDRESS(58,3)),0)</f>
        <v>8.0064590781043984E-3</v>
      </c>
      <c r="AN57" s="3">
        <f ca="1">INDIRECT(ADDRESS(57,9))</f>
        <v>3680469.5336440001</v>
      </c>
      <c r="AO57" s="4">
        <f ca="1">IFERROR(INDIRECT(ADDRESS(57,9)) / INDIRECT(ADDRESS(58,9)),0)</f>
        <v>9.9380847270372427E-3</v>
      </c>
      <c r="AP57" s="4">
        <f ca="1">IFERROR((INDIRECT(ADDRESS(57,9)) - INDIRECT(ADDRESS(57,3)))/ INDIRECT(ADDRESS(57,3)),1)</f>
        <v>-5.2212679175283723E-2</v>
      </c>
      <c r="AQ57" s="3">
        <f ca="1">INDIRECT(ADDRESS(57,14))</f>
        <v>3477716.0867050001</v>
      </c>
      <c r="AR57" s="4">
        <f ca="1">IFERROR(INDIRECT(ADDRESS(57,14)) / INDIRECT(ADDRESS(58,14)),0)</f>
        <v>1.336961322408948E-2</v>
      </c>
      <c r="AS57" s="4">
        <f ca="1">IFERROR((INDIRECT(ADDRESS(57,14)) - INDIRECT(ADDRESS(57,3)))/ INDIRECT(ADDRESS(57,3)),1)</f>
        <v>-0.10442535054931573</v>
      </c>
      <c r="AT57" s="3">
        <f ca="1">INDIRECT(ADDRESS(57,19))</f>
        <v>3274962.8349830001</v>
      </c>
      <c r="AU57" s="4">
        <f ca="1">IFERROR(INDIRECT(ADDRESS(57,19)) / INDIRECT(ADDRESS(58,19)),0)</f>
        <v>1.6562145469537545E-2</v>
      </c>
      <c r="AV57" s="4">
        <f ca="1">IFERROR((INDIRECT(ADDRESS(57,19)) - INDIRECT(ADDRESS(57,3)))/ INDIRECT(ADDRESS(57,3)),1)</f>
        <v>-0.15663797165144749</v>
      </c>
      <c r="AW57" s="3">
        <f ca="1">INDIRECT(ADDRESS(57,24))</f>
        <v>3153310.6720349998</v>
      </c>
      <c r="AX57" s="4">
        <f ca="1">IFERROR(INDIRECT(ADDRESS(57,24)) / INDIRECT(ADDRESS(58,24)),0)</f>
        <v>1.8953931852751696E-2</v>
      </c>
      <c r="AY57" s="4">
        <f ca="1">IFERROR((INDIRECT(ADDRESS(57,24)) - INDIRECT(ADDRESS(57,3)))/ INDIRECT(ADDRESS(57,3)),1)</f>
        <v>-0.1879655988846117</v>
      </c>
      <c r="AZ57" s="3">
        <f ca="1">INDIRECT(ADDRESS(57,29))</f>
        <v>3153310.6720349998</v>
      </c>
      <c r="BA57" s="4">
        <f ca="1">IFERROR(INDIRECT(ADDRESS(57,29)) / INDIRECT(ADDRESS(58,29)),0)</f>
        <v>2.086986817320129E-2</v>
      </c>
      <c r="BB57" s="4">
        <f ca="1">IFERROR((INDIRECT(ADDRESS(57,29)) - INDIRECT(ADDRESS(57,3)))/ INDIRECT(ADDRESS(57,3)),1)</f>
        <v>-0.1879655988846117</v>
      </c>
      <c r="BC57" s="3">
        <f ca="1">INDIRECT(ADDRESS(57,34))</f>
        <v>3153310.6720349998</v>
      </c>
      <c r="BD57" s="4">
        <f ca="1">IFERROR(INDIRECT(ADDRESS(57,34)) / INDIRECT(ADDRESS(58,34)),0)</f>
        <v>2.1846811035994708E-2</v>
      </c>
      <c r="BE57" s="4">
        <f ca="1">IFERROR((INDIRECT(ADDRESS(57,34)) - INDIRECT(ADDRESS(57,3)))/ INDIRECT(ADDRESS(57,3)),1)</f>
        <v>-0.1879655988846117</v>
      </c>
    </row>
    <row r="58" spans="1:57" x14ac:dyDescent="0.25">
      <c r="A58" s="1" t="s">
        <v>21</v>
      </c>
      <c r="B58" s="1"/>
      <c r="C58">
        <v>485011285.637694</v>
      </c>
      <c r="D58">
        <v>476627736.76712799</v>
      </c>
      <c r="E58">
        <v>459814671.46596003</v>
      </c>
      <c r="F58">
        <v>440405154.85591</v>
      </c>
      <c r="G58">
        <v>422602685.446464</v>
      </c>
      <c r="H58">
        <v>401101128.96676803</v>
      </c>
      <c r="I58">
        <v>370339923.10721898</v>
      </c>
      <c r="J58">
        <v>347108842.49642187</v>
      </c>
      <c r="K58">
        <v>323408514.52730203</v>
      </c>
      <c r="L58">
        <v>300068684.45640498</v>
      </c>
      <c r="M58">
        <v>278349692.57491601</v>
      </c>
      <c r="N58">
        <v>260120919.611857</v>
      </c>
      <c r="O58">
        <v>244754108.987266</v>
      </c>
      <c r="P58">
        <v>231769898.723616</v>
      </c>
      <c r="Q58">
        <v>220218235.979918</v>
      </c>
      <c r="R58">
        <v>207780253.683332</v>
      </c>
      <c r="S58">
        <v>197737837.83064699</v>
      </c>
      <c r="T58">
        <v>190321126.50787801</v>
      </c>
      <c r="U58">
        <v>183103466.936647</v>
      </c>
      <c r="V58">
        <v>176392270.27383599</v>
      </c>
      <c r="W58">
        <v>171104206.92006999</v>
      </c>
      <c r="X58">
        <v>166367099.79397801</v>
      </c>
      <c r="Y58">
        <v>162670648.084308</v>
      </c>
      <c r="Z58">
        <v>159228380.52083799</v>
      </c>
      <c r="AA58">
        <v>156130147.39482501</v>
      </c>
      <c r="AB58">
        <v>153420866.28109601</v>
      </c>
      <c r="AC58">
        <v>151093942.99309099</v>
      </c>
      <c r="AD58">
        <v>149153581.10715601</v>
      </c>
      <c r="AE58">
        <v>147560073.458132</v>
      </c>
      <c r="AF58">
        <v>146272452.431656</v>
      </c>
      <c r="AG58">
        <v>145229305.864618</v>
      </c>
      <c r="AH58">
        <v>144337343.64432499</v>
      </c>
    </row>
    <row r="59" spans="1:57" x14ac:dyDescent="0.25">
      <c r="A59" s="5" t="s">
        <v>6</v>
      </c>
      <c r="B59" s="1" t="s">
        <v>139</v>
      </c>
      <c r="C59">
        <v>119614708.408329</v>
      </c>
      <c r="D59">
        <v>124773412.87909</v>
      </c>
      <c r="E59">
        <v>120378131.956333</v>
      </c>
      <c r="F59">
        <v>116145941.96645799</v>
      </c>
      <c r="G59">
        <v>111558820.02527601</v>
      </c>
      <c r="H59">
        <v>105665948.241997</v>
      </c>
      <c r="I59">
        <v>92924011.316313997</v>
      </c>
      <c r="J59">
        <v>85575952.730646998</v>
      </c>
      <c r="K59">
        <v>77461322.350368991</v>
      </c>
      <c r="L59">
        <v>69489197.304150999</v>
      </c>
      <c r="M59">
        <v>62143757.062914997</v>
      </c>
      <c r="N59">
        <v>56191586.536810003</v>
      </c>
      <c r="O59">
        <v>51932080.595161997</v>
      </c>
      <c r="P59">
        <v>48588563.311085999</v>
      </c>
      <c r="Q59">
        <v>45645887.415235013</v>
      </c>
      <c r="R59">
        <v>42100468.081666</v>
      </c>
      <c r="S59">
        <v>39500784.315098003</v>
      </c>
      <c r="T59">
        <v>36892238.616922997</v>
      </c>
      <c r="U59">
        <v>34248276.920702003</v>
      </c>
      <c r="V59">
        <v>31759741.332752999</v>
      </c>
      <c r="W59">
        <v>29738719.006554998</v>
      </c>
      <c r="X59">
        <v>27954840.813487999</v>
      </c>
      <c r="Y59">
        <v>26649342.549300998</v>
      </c>
      <c r="Z59">
        <v>25452523.601482999</v>
      </c>
      <c r="AA59">
        <v>24409717.462981999</v>
      </c>
      <c r="AB59">
        <v>23544897.914386999</v>
      </c>
      <c r="AC59">
        <v>22857887.799580999</v>
      </c>
      <c r="AD59">
        <v>22331746.997272</v>
      </c>
      <c r="AE59">
        <v>21967830.180941999</v>
      </c>
      <c r="AF59">
        <v>21748602.813629001</v>
      </c>
      <c r="AG59">
        <v>21645304.355533</v>
      </c>
      <c r="AH59">
        <v>21612245.686980002</v>
      </c>
      <c r="AK59" s="3" t="str">
        <f ca="1">INDIRECT(ADDRESS(59,2))</f>
        <v>Car</v>
      </c>
      <c r="AL59" s="3">
        <f ca="1">INDIRECT(ADDRESS(59,3))</f>
        <v>119614708.408329</v>
      </c>
      <c r="AM59" s="4">
        <f ca="1">IFERROR(INDIRECT(ADDRESS(59,3)) / INDIRECT(ADDRESS(63,3)),0)</f>
        <v>0.24662252601206855</v>
      </c>
      <c r="AN59" s="3">
        <f ca="1">INDIRECT(ADDRESS(59,9))</f>
        <v>92924011.316313997</v>
      </c>
      <c r="AO59" s="4">
        <f ca="1">IFERROR(INDIRECT(ADDRESS(59,9)) / INDIRECT(ADDRESS(63,9)),0)</f>
        <v>0.25091545778766611</v>
      </c>
      <c r="AP59" s="4">
        <f ca="1">IFERROR((INDIRECT(ADDRESS(59,9)) - INDIRECT(ADDRESS(59,3)))/ INDIRECT(ADDRESS(59,3)),1)</f>
        <v>-0.22313892202036648</v>
      </c>
      <c r="AQ59" s="3">
        <f ca="1">INDIRECT(ADDRESS(59,14))</f>
        <v>56191586.536810003</v>
      </c>
      <c r="AR59" s="4">
        <f ca="1">IFERROR(INDIRECT(ADDRESS(59,14)) / INDIRECT(ADDRESS(63,14)),0)</f>
        <v>0.21602101978038957</v>
      </c>
      <c r="AS59" s="4">
        <f ca="1">IFERROR((INDIRECT(ADDRESS(59,14)) - INDIRECT(ADDRESS(59,3)))/ INDIRECT(ADDRESS(59,3)),1)</f>
        <v>-0.53022845363641513</v>
      </c>
      <c r="AT59" s="3">
        <f ca="1">INDIRECT(ADDRESS(59,19))</f>
        <v>39500784.315098003</v>
      </c>
      <c r="AU59" s="4">
        <f ca="1">IFERROR(INDIRECT(ADDRESS(59,19)) / INDIRECT(ADDRESS(63,19)),0)</f>
        <v>0.19976340769402232</v>
      </c>
      <c r="AV59" s="4">
        <f ca="1">IFERROR((INDIRECT(ADDRESS(59,19)) - INDIRECT(ADDRESS(59,3)))/ INDIRECT(ADDRESS(59,3)),1)</f>
        <v>-0.66976649577028535</v>
      </c>
      <c r="AW59" s="3">
        <f ca="1">INDIRECT(ADDRESS(59,24))</f>
        <v>27954840.813487999</v>
      </c>
      <c r="AX59" s="4">
        <f ca="1">IFERROR(INDIRECT(ADDRESS(59,24)) / INDIRECT(ADDRESS(63,24)),0)</f>
        <v>0.16803106297840834</v>
      </c>
      <c r="AY59" s="4">
        <f ca="1">IFERROR((INDIRECT(ADDRESS(59,24)) - INDIRECT(ADDRESS(59,3)))/ INDIRECT(ADDRESS(59,3)),1)</f>
        <v>-0.7662926141318801</v>
      </c>
      <c r="AZ59" s="3">
        <f ca="1">INDIRECT(ADDRESS(59,29))</f>
        <v>22857887.799580999</v>
      </c>
      <c r="BA59" s="4">
        <f ca="1">IFERROR(INDIRECT(ADDRESS(59,29)) / INDIRECT(ADDRESS(63,29)),0)</f>
        <v>0.15128262157157657</v>
      </c>
      <c r="BB59" s="4">
        <f ca="1">IFERROR((INDIRECT(ADDRESS(59,29)) - INDIRECT(ADDRESS(59,3)))/ INDIRECT(ADDRESS(59,3)),1)</f>
        <v>-0.80890403777476105</v>
      </c>
      <c r="BC59" s="3">
        <f ca="1">INDIRECT(ADDRESS(59,34))</f>
        <v>21612245.686980002</v>
      </c>
      <c r="BD59" s="4">
        <f ca="1">IFERROR(INDIRECT(ADDRESS(59,34)) / INDIRECT(ADDRESS(63,34)),0)</f>
        <v>0.14973426335701326</v>
      </c>
      <c r="BE59" s="4">
        <f ca="1">IFERROR((INDIRECT(ADDRESS(59,34)) - INDIRECT(ADDRESS(59,3)))/ INDIRECT(ADDRESS(59,3)),1)</f>
        <v>-0.81931782491830163</v>
      </c>
    </row>
    <row r="60" spans="1:57" x14ac:dyDescent="0.25">
      <c r="A60" s="5"/>
      <c r="B60" s="1" t="s">
        <v>140</v>
      </c>
      <c r="C60">
        <v>247762338.83683699</v>
      </c>
      <c r="D60">
        <v>227455068.00186199</v>
      </c>
      <c r="E60">
        <v>215704845.73983401</v>
      </c>
      <c r="F60">
        <v>204531803.46288401</v>
      </c>
      <c r="G60">
        <v>193906919.611963</v>
      </c>
      <c r="H60">
        <v>183832152.295663</v>
      </c>
      <c r="I60">
        <v>174438407.53272501</v>
      </c>
      <c r="J60">
        <v>164912976.41868901</v>
      </c>
      <c r="K60">
        <v>155988598.31325299</v>
      </c>
      <c r="L60">
        <v>147883883.35150599</v>
      </c>
      <c r="M60">
        <v>140541326.72455001</v>
      </c>
      <c r="N60">
        <v>133932239.635006</v>
      </c>
      <c r="O60">
        <v>127882832.768796</v>
      </c>
      <c r="P60">
        <v>122429353.78747401</v>
      </c>
      <c r="Q60">
        <v>117489274.528588</v>
      </c>
      <c r="R60">
        <v>112994352.00229099</v>
      </c>
      <c r="S60">
        <v>108894097.407113</v>
      </c>
      <c r="T60">
        <v>107363708.16632</v>
      </c>
      <c r="U60">
        <v>105959498.56370001</v>
      </c>
      <c r="V60">
        <v>104668500.86246599</v>
      </c>
      <c r="W60">
        <v>103719909.519196</v>
      </c>
      <c r="X60">
        <v>102816575.824494</v>
      </c>
      <c r="Y60">
        <v>101894831.926718</v>
      </c>
      <c r="Z60">
        <v>101001679.957451</v>
      </c>
      <c r="AA60">
        <v>100130617.04939</v>
      </c>
      <c r="AB60">
        <v>99275163.349205002</v>
      </c>
      <c r="AC60">
        <v>98429848.124771997</v>
      </c>
      <c r="AD60">
        <v>97626235.119203001</v>
      </c>
      <c r="AE60">
        <v>96825430.395039007</v>
      </c>
      <c r="AF60">
        <v>96026087.639998004</v>
      </c>
      <c r="AG60">
        <v>95227654.330935001</v>
      </c>
      <c r="AH60">
        <v>94429957.351503</v>
      </c>
      <c r="AK60" s="3" t="str">
        <f ca="1">INDIRECT(ADDRESS(60,2))</f>
        <v>Heavy Truck</v>
      </c>
      <c r="AL60" s="3">
        <f ca="1">INDIRECT(ADDRESS(60,3))</f>
        <v>247762338.83683699</v>
      </c>
      <c r="AM60" s="4">
        <f ca="1">IFERROR(INDIRECT(ADDRESS(60,3)) / INDIRECT(ADDRESS(63,3)),0)</f>
        <v>0.51083829629052546</v>
      </c>
      <c r="AN60" s="3">
        <f ca="1">INDIRECT(ADDRESS(60,9))</f>
        <v>174438407.53272501</v>
      </c>
      <c r="AO60" s="4">
        <f ca="1">IFERROR(INDIRECT(ADDRESS(60,9)) / INDIRECT(ADDRESS(63,9)),0)</f>
        <v>0.47102242210395084</v>
      </c>
      <c r="AP60" s="4">
        <f ca="1">IFERROR((INDIRECT(ADDRESS(60,9)) - INDIRECT(ADDRESS(60,3)))/ INDIRECT(ADDRESS(60,3)),1)</f>
        <v>-0.29594462035006541</v>
      </c>
      <c r="AQ60" s="3">
        <f ca="1">INDIRECT(ADDRESS(60,14))</f>
        <v>133932239.635006</v>
      </c>
      <c r="AR60" s="4">
        <f ca="1">IFERROR(INDIRECT(ADDRESS(60,14)) / INDIRECT(ADDRESS(63,14)),0)</f>
        <v>0.51488453646833066</v>
      </c>
      <c r="AS60" s="4">
        <f ca="1">IFERROR((INDIRECT(ADDRESS(60,14)) - INDIRECT(ADDRESS(60,3)))/ INDIRECT(ADDRESS(60,3)),1)</f>
        <v>-0.45943261488499831</v>
      </c>
      <c r="AT60" s="3">
        <f ca="1">INDIRECT(ADDRESS(60,19))</f>
        <v>108894097.407113</v>
      </c>
      <c r="AU60" s="4">
        <f ca="1">IFERROR(INDIRECT(ADDRESS(60,19)) / INDIRECT(ADDRESS(63,19)),0)</f>
        <v>0.55069934313925084</v>
      </c>
      <c r="AV60" s="4">
        <f ca="1">IFERROR((INDIRECT(ADDRESS(60,19)) - INDIRECT(ADDRESS(60,3)))/ INDIRECT(ADDRESS(60,3)),1)</f>
        <v>-0.56048970994407332</v>
      </c>
      <c r="AW60" s="3">
        <f ca="1">INDIRECT(ADDRESS(60,24))</f>
        <v>102816575.824494</v>
      </c>
      <c r="AX60" s="4">
        <f ca="1">IFERROR(INDIRECT(ADDRESS(60,24)) / INDIRECT(ADDRESS(63,24)),0)</f>
        <v>0.61801026315464203</v>
      </c>
      <c r="AY60" s="4">
        <f ca="1">IFERROR((INDIRECT(ADDRESS(60,24)) - INDIRECT(ADDRESS(60,3)))/ INDIRECT(ADDRESS(60,3)),1)</f>
        <v>-0.58501935238751723</v>
      </c>
      <c r="AZ60" s="3">
        <f ca="1">INDIRECT(ADDRESS(60,29))</f>
        <v>98429848.124771997</v>
      </c>
      <c r="BA60" s="4">
        <f ca="1">IFERROR(INDIRECT(ADDRESS(60,29)) / INDIRECT(ADDRESS(63,29)),0)</f>
        <v>0.65144800760989807</v>
      </c>
      <c r="BB60" s="4">
        <f ca="1">IFERROR((INDIRECT(ADDRESS(60,29)) - INDIRECT(ADDRESS(60,3)))/ INDIRECT(ADDRESS(60,3)),1)</f>
        <v>-0.60272473779966762</v>
      </c>
      <c r="BC60" s="3">
        <f ca="1">INDIRECT(ADDRESS(60,34))</f>
        <v>94429957.351503</v>
      </c>
      <c r="BD60" s="4">
        <f ca="1">IFERROR(INDIRECT(ADDRESS(60,34)) / INDIRECT(ADDRESS(63,34)),0)</f>
        <v>0.65423095349038929</v>
      </c>
      <c r="BE60" s="4">
        <f ca="1">IFERROR((INDIRECT(ADDRESS(60,34)) - INDIRECT(ADDRESS(60,3)))/ INDIRECT(ADDRESS(60,3)),1)</f>
        <v>-0.61886880066268046</v>
      </c>
    </row>
    <row r="61" spans="1:57" x14ac:dyDescent="0.25">
      <c r="A61" s="5"/>
      <c r="B61" s="1" t="s">
        <v>141</v>
      </c>
      <c r="C61">
        <v>113751015.381651</v>
      </c>
      <c r="D61">
        <v>120516032.87709799</v>
      </c>
      <c r="E61">
        <v>119889021.609377</v>
      </c>
      <c r="F61">
        <v>115925287.729177</v>
      </c>
      <c r="G61">
        <v>113375374.644237</v>
      </c>
      <c r="H61">
        <v>107882008.40263499</v>
      </c>
      <c r="I61">
        <v>99297034.616999999</v>
      </c>
      <c r="J61">
        <v>92979994.436992988</v>
      </c>
      <c r="K61">
        <v>86359225.264683992</v>
      </c>
      <c r="L61">
        <v>79136786.396361992</v>
      </c>
      <c r="M61">
        <v>72146341.522748008</v>
      </c>
      <c r="N61">
        <v>66519378.351044998</v>
      </c>
      <c r="O61">
        <v>61502030.192249</v>
      </c>
      <c r="P61">
        <v>57355366.851236999</v>
      </c>
      <c r="Q61">
        <v>53727010.590111002</v>
      </c>
      <c r="R61">
        <v>49369921.918442003</v>
      </c>
      <c r="S61">
        <v>46067993.273452997</v>
      </c>
      <c r="T61">
        <v>42830767.771004997</v>
      </c>
      <c r="U61">
        <v>39701830.348678</v>
      </c>
      <c r="V61">
        <v>36810716.717168003</v>
      </c>
      <c r="W61">
        <v>34492266.634191997</v>
      </c>
      <c r="X61">
        <v>32442373.616308998</v>
      </c>
      <c r="Y61">
        <v>30973163.331530999</v>
      </c>
      <c r="Z61">
        <v>29620865.879005998</v>
      </c>
      <c r="AA61">
        <v>28436500.089937001</v>
      </c>
      <c r="AB61">
        <v>27447492.607260998</v>
      </c>
      <c r="AC61">
        <v>26652896.396701999</v>
      </c>
      <c r="AD61">
        <v>26042290.113316</v>
      </c>
      <c r="AE61">
        <v>25613499.487498</v>
      </c>
      <c r="AF61">
        <v>25344449.477244999</v>
      </c>
      <c r="AG61">
        <v>25203036.506115001</v>
      </c>
      <c r="AH61">
        <v>25141829.00956</v>
      </c>
      <c r="AK61" s="3" t="str">
        <f ca="1">INDIRECT(ADDRESS(61,2))</f>
        <v>Light Truck</v>
      </c>
      <c r="AL61" s="3">
        <f ca="1">INDIRECT(ADDRESS(61,3))</f>
        <v>113751015.381651</v>
      </c>
      <c r="AM61" s="4">
        <f ca="1">IFERROR(INDIRECT(ADDRESS(61,3)) / INDIRECT(ADDRESS(63,3)),0)</f>
        <v>0.23453271861930158</v>
      </c>
      <c r="AN61" s="3">
        <f ca="1">INDIRECT(ADDRESS(61,9))</f>
        <v>99297034.616999999</v>
      </c>
      <c r="AO61" s="4">
        <f ca="1">IFERROR(INDIRECT(ADDRESS(61,9)) / INDIRECT(ADDRESS(63,9)),0)</f>
        <v>0.26812403538059604</v>
      </c>
      <c r="AP61" s="4">
        <f ca="1">IFERROR((INDIRECT(ADDRESS(61,9)) - INDIRECT(ADDRESS(61,3)))/ INDIRECT(ADDRESS(61,3)),1)</f>
        <v>-0.12706682851274617</v>
      </c>
      <c r="AQ61" s="3">
        <f ca="1">INDIRECT(ADDRESS(61,14))</f>
        <v>66519378.351044998</v>
      </c>
      <c r="AR61" s="4">
        <f ca="1">IFERROR(INDIRECT(ADDRESS(61,14)) / INDIRECT(ADDRESS(63,14)),0)</f>
        <v>0.2557248305693785</v>
      </c>
      <c r="AS61" s="4">
        <f ca="1">IFERROR((INDIRECT(ADDRESS(61,14)) - INDIRECT(ADDRESS(61,3)))/ INDIRECT(ADDRESS(61,3)),1)</f>
        <v>-0.41521947625818612</v>
      </c>
      <c r="AT61" s="3">
        <f ca="1">INDIRECT(ADDRESS(61,19))</f>
        <v>46067993.273452997</v>
      </c>
      <c r="AU61" s="4">
        <f ca="1">IFERROR(INDIRECT(ADDRESS(61,19)) / INDIRECT(ADDRESS(63,19)),0)</f>
        <v>0.23297510369718938</v>
      </c>
      <c r="AV61" s="4">
        <f ca="1">IFERROR((INDIRECT(ADDRESS(61,19)) - INDIRECT(ADDRESS(61,3)))/ INDIRECT(ADDRESS(61,3)),1)</f>
        <v>-0.59501026765441822</v>
      </c>
      <c r="AW61" s="3">
        <f ca="1">INDIRECT(ADDRESS(61,24))</f>
        <v>32442373.616308998</v>
      </c>
      <c r="AX61" s="4">
        <f ca="1">IFERROR(INDIRECT(ADDRESS(61,24)) / INDIRECT(ADDRESS(63,24)),0)</f>
        <v>0.19500474213614002</v>
      </c>
      <c r="AY61" s="4">
        <f ca="1">IFERROR((INDIRECT(ADDRESS(61,24)) - INDIRECT(ADDRESS(61,3)))/ INDIRECT(ADDRESS(61,3)),1)</f>
        <v>-0.71479486572088891</v>
      </c>
      <c r="AZ61" s="3">
        <f ca="1">INDIRECT(ADDRESS(61,29))</f>
        <v>26652896.396701999</v>
      </c>
      <c r="BA61" s="4">
        <f ca="1">IFERROR(INDIRECT(ADDRESS(61,29)) / INDIRECT(ADDRESS(63,29)),0)</f>
        <v>0.17639950264532389</v>
      </c>
      <c r="BB61" s="4">
        <f ca="1">IFERROR((INDIRECT(ADDRESS(61,29)) - INDIRECT(ADDRESS(61,3)))/ INDIRECT(ADDRESS(61,3)),1)</f>
        <v>-0.76569091443027815</v>
      </c>
      <c r="BC61" s="3">
        <f ca="1">INDIRECT(ADDRESS(61,34))</f>
        <v>25141829.00956</v>
      </c>
      <c r="BD61" s="4">
        <f ca="1">IFERROR(INDIRECT(ADDRESS(61,34)) / INDIRECT(ADDRESS(63,34)),0)</f>
        <v>0.17418797198212402</v>
      </c>
      <c r="BE61" s="4">
        <f ca="1">IFERROR((INDIRECT(ADDRESS(61,34)) - INDIRECT(ADDRESS(61,3)))/ INDIRECT(ADDRESS(61,3)),1)</f>
        <v>-0.7789749047495923</v>
      </c>
    </row>
    <row r="62" spans="1:57" x14ac:dyDescent="0.25">
      <c r="A62" s="5"/>
      <c r="B62" s="1" t="s">
        <v>142</v>
      </c>
      <c r="C62">
        <v>3883223.0108770002</v>
      </c>
      <c r="D62">
        <v>3883223.0090780002</v>
      </c>
      <c r="E62">
        <v>3842672.1604160001</v>
      </c>
      <c r="F62">
        <v>3802121.6973910001</v>
      </c>
      <c r="G62">
        <v>3761571.0710410001</v>
      </c>
      <c r="H62">
        <v>3721020.1904870002</v>
      </c>
      <c r="I62">
        <v>3680469.5328449998</v>
      </c>
      <c r="J62">
        <v>3639918.9100910001</v>
      </c>
      <c r="K62">
        <v>3599368.2504509999</v>
      </c>
      <c r="L62">
        <v>3558817.4043859998</v>
      </c>
      <c r="M62">
        <v>3518266.7110580001</v>
      </c>
      <c r="N62">
        <v>3477716.089102</v>
      </c>
      <c r="O62">
        <v>3437165.4310610001</v>
      </c>
      <c r="P62">
        <v>3396614.773819</v>
      </c>
      <c r="Q62">
        <v>3356063.9245580002</v>
      </c>
      <c r="R62">
        <v>3315513.2689129999</v>
      </c>
      <c r="S62">
        <v>3274962.8349830001</v>
      </c>
      <c r="T62">
        <v>3234411.9536299999</v>
      </c>
      <c r="U62">
        <v>3193861.1035679998</v>
      </c>
      <c r="V62">
        <v>3153310.671236</v>
      </c>
      <c r="W62">
        <v>3153310.672435001</v>
      </c>
      <c r="X62">
        <v>3153310.673233001</v>
      </c>
      <c r="Y62">
        <v>3153310.6724339998</v>
      </c>
      <c r="Z62">
        <v>3153310.671635001</v>
      </c>
      <c r="AA62">
        <v>3153310.671635001</v>
      </c>
      <c r="AB62">
        <v>3153310.6720349998</v>
      </c>
      <c r="AC62">
        <v>3153310.6720349998</v>
      </c>
      <c r="AD62">
        <v>3153310.6736329999</v>
      </c>
      <c r="AE62">
        <v>3153310.671236</v>
      </c>
      <c r="AF62">
        <v>3153310.6704370002</v>
      </c>
      <c r="AG62">
        <v>3153310.6720349998</v>
      </c>
      <c r="AH62">
        <v>3153310.671236</v>
      </c>
      <c r="AK62" s="3" t="str">
        <f ca="1">INDIRECT(ADDRESS(62,2))</f>
        <v>Urban Bus</v>
      </c>
      <c r="AL62" s="3">
        <f ca="1">INDIRECT(ADDRESS(62,3))</f>
        <v>3883223.0108770002</v>
      </c>
      <c r="AM62" s="4">
        <f ca="1">IFERROR(INDIRECT(ADDRESS(62,3)) / INDIRECT(ADDRESS(63,3)),0)</f>
        <v>8.0064590781043984E-3</v>
      </c>
      <c r="AN62" s="3">
        <f ca="1">INDIRECT(ADDRESS(62,9))</f>
        <v>3680469.5328449998</v>
      </c>
      <c r="AO62" s="4">
        <f ca="1">IFERROR(INDIRECT(ADDRESS(62,9)) / INDIRECT(ADDRESS(63,9)),0)</f>
        <v>9.9380847277869382E-3</v>
      </c>
      <c r="AP62" s="4">
        <f ca="1">IFERROR((INDIRECT(ADDRESS(62,9)) - INDIRECT(ADDRESS(62,3)))/ INDIRECT(ADDRESS(62,3)),1)</f>
        <v>-5.2212679381040711E-2</v>
      </c>
      <c r="AQ62" s="3">
        <f ca="1">INDIRECT(ADDRESS(62,14))</f>
        <v>3477716.089102</v>
      </c>
      <c r="AR62" s="4">
        <f ca="1">IFERROR(INDIRECT(ADDRESS(62,14)) / INDIRECT(ADDRESS(63,14)),0)</f>
        <v>1.3369613181901292E-2</v>
      </c>
      <c r="AS62" s="4">
        <f ca="1">IFERROR((INDIRECT(ADDRESS(62,14)) - INDIRECT(ADDRESS(62,3)))/ INDIRECT(ADDRESS(62,3)),1)</f>
        <v>-0.10442534993204501</v>
      </c>
      <c r="AT62" s="3">
        <f ca="1">INDIRECT(ADDRESS(62,19))</f>
        <v>3274962.8349830001</v>
      </c>
      <c r="AU62" s="4">
        <f ca="1">IFERROR(INDIRECT(ADDRESS(62,19)) / INDIRECT(ADDRESS(63,19)),0)</f>
        <v>1.6562145469537545E-2</v>
      </c>
      <c r="AV62" s="4">
        <f ca="1">IFERROR((INDIRECT(ADDRESS(62,19)) - INDIRECT(ADDRESS(62,3)))/ INDIRECT(ADDRESS(62,3)),1)</f>
        <v>-0.15663797165144749</v>
      </c>
      <c r="AW62" s="3">
        <f ca="1">INDIRECT(ADDRESS(62,24))</f>
        <v>3153310.673233001</v>
      </c>
      <c r="AX62" s="4">
        <f ca="1">IFERROR(INDIRECT(ADDRESS(62,24)) / INDIRECT(ADDRESS(63,24)),0)</f>
        <v>1.8953931730809604E-2</v>
      </c>
      <c r="AY62" s="4">
        <f ca="1">IFERROR((INDIRECT(ADDRESS(62,24)) - INDIRECT(ADDRESS(62,3)))/ INDIRECT(ADDRESS(62,3)),1)</f>
        <v>-0.18796559857610476</v>
      </c>
      <c r="AZ62" s="3">
        <f ca="1">INDIRECT(ADDRESS(62,29))</f>
        <v>3153310.6720349998</v>
      </c>
      <c r="BA62" s="4">
        <f ca="1">IFERROR(INDIRECT(ADDRESS(62,29)) / INDIRECT(ADDRESS(63,29)),0)</f>
        <v>2.0869868173201429E-2</v>
      </c>
      <c r="BB62" s="4">
        <f ca="1">IFERROR((INDIRECT(ADDRESS(62,29)) - INDIRECT(ADDRESS(62,3)))/ INDIRECT(ADDRESS(62,3)),1)</f>
        <v>-0.1879655988846117</v>
      </c>
      <c r="BC62" s="3">
        <f ca="1">INDIRECT(ADDRESS(62,34))</f>
        <v>3153310.671236</v>
      </c>
      <c r="BD62" s="4">
        <f ca="1">IFERROR(INDIRECT(ADDRESS(62,34)) / INDIRECT(ADDRESS(63,34)),0)</f>
        <v>2.1846811170473459E-2</v>
      </c>
      <c r="BE62" s="4">
        <f ca="1">IFERROR((INDIRECT(ADDRESS(62,34)) - INDIRECT(ADDRESS(62,3)))/ INDIRECT(ADDRESS(62,3)),1)</f>
        <v>-0.18796559909036856</v>
      </c>
    </row>
    <row r="63" spans="1:57" x14ac:dyDescent="0.25">
      <c r="A63" s="1" t="s">
        <v>21</v>
      </c>
      <c r="B63" s="1"/>
      <c r="C63">
        <v>485011285.637694</v>
      </c>
      <c r="D63">
        <v>476627736.76712799</v>
      </c>
      <c r="E63">
        <v>459814671.46596003</v>
      </c>
      <c r="F63">
        <v>440405154.85591</v>
      </c>
      <c r="G63">
        <v>422602685.35251701</v>
      </c>
      <c r="H63">
        <v>401101129.13078201</v>
      </c>
      <c r="I63">
        <v>370339922.99888402</v>
      </c>
      <c r="J63">
        <v>347108842.49642003</v>
      </c>
      <c r="K63">
        <v>323408514.17875701</v>
      </c>
      <c r="L63">
        <v>300068684.45640498</v>
      </c>
      <c r="M63">
        <v>278349692.02127099</v>
      </c>
      <c r="N63">
        <v>260120920.611963</v>
      </c>
      <c r="O63">
        <v>244754108.987268</v>
      </c>
      <c r="P63">
        <v>231769898.723616</v>
      </c>
      <c r="Q63">
        <v>220218236.45849201</v>
      </c>
      <c r="R63">
        <v>207780255.271312</v>
      </c>
      <c r="S63">
        <v>197737837.83064699</v>
      </c>
      <c r="T63">
        <v>190321126.50787801</v>
      </c>
      <c r="U63">
        <v>183103466.93664801</v>
      </c>
      <c r="V63">
        <v>176392269.58362299</v>
      </c>
      <c r="W63">
        <v>171104205.832378</v>
      </c>
      <c r="X63">
        <v>166367100.927524</v>
      </c>
      <c r="Y63">
        <v>162670648.47998399</v>
      </c>
      <c r="Z63">
        <v>159228380.109575</v>
      </c>
      <c r="AA63">
        <v>156130145.27394399</v>
      </c>
      <c r="AB63">
        <v>153420864.54288799</v>
      </c>
      <c r="AC63">
        <v>151093942.99309</v>
      </c>
      <c r="AD63">
        <v>149153582.90342399</v>
      </c>
      <c r="AE63">
        <v>147560070.73471501</v>
      </c>
      <c r="AF63">
        <v>146272450.601309</v>
      </c>
      <c r="AG63">
        <v>145229305.864618</v>
      </c>
      <c r="AH63">
        <v>144337342.71927899</v>
      </c>
    </row>
    <row r="64" spans="1:57" x14ac:dyDescent="0.25">
      <c r="A64" s="5" t="s">
        <v>3</v>
      </c>
      <c r="B64" s="1" t="s">
        <v>139</v>
      </c>
      <c r="C64">
        <v>119614708.408329</v>
      </c>
      <c r="D64">
        <v>124773412.877569</v>
      </c>
      <c r="E64">
        <v>122825603.894298</v>
      </c>
      <c r="F64">
        <v>120911920.510462</v>
      </c>
      <c r="G64">
        <v>118495467.68948001</v>
      </c>
      <c r="H64">
        <v>114538847.048098</v>
      </c>
      <c r="I64">
        <v>102789968.083537</v>
      </c>
      <c r="J64">
        <v>96619849.799078003</v>
      </c>
      <c r="K64">
        <v>89266600.466230989</v>
      </c>
      <c r="L64">
        <v>81738658.441573992</v>
      </c>
      <c r="M64">
        <v>74619342.705048993</v>
      </c>
      <c r="N64">
        <v>68881903.155320004</v>
      </c>
      <c r="O64">
        <v>64992412.680214003</v>
      </c>
      <c r="P64">
        <v>62085154.747992001</v>
      </c>
      <c r="Q64">
        <v>59555253.398653999</v>
      </c>
      <c r="R64">
        <v>56106661.932654999</v>
      </c>
      <c r="S64">
        <v>53764122.885900997</v>
      </c>
      <c r="T64">
        <v>51059308.896652997</v>
      </c>
      <c r="U64">
        <v>48201365.005300999</v>
      </c>
      <c r="V64">
        <v>45454209.152606003</v>
      </c>
      <c r="W64">
        <v>43274926.496521004</v>
      </c>
      <c r="X64">
        <v>41353578.799078003</v>
      </c>
      <c r="Y64">
        <v>39475841.042190999</v>
      </c>
      <c r="Z64">
        <v>37752302.294621997</v>
      </c>
      <c r="AA64">
        <v>36251812.419771999</v>
      </c>
      <c r="AB64">
        <v>35011725.196542993</v>
      </c>
      <c r="AC64">
        <v>34033376.585643999</v>
      </c>
      <c r="AD64">
        <v>33294002.528193001</v>
      </c>
      <c r="AE64">
        <v>32794926.619408999</v>
      </c>
      <c r="AF64">
        <v>32510540.512354001</v>
      </c>
      <c r="AG64">
        <v>32398744.634185001</v>
      </c>
      <c r="AH64">
        <v>32392346.112188999</v>
      </c>
      <c r="AK64" s="3" t="str">
        <f ca="1">INDIRECT(ADDRESS(64,2))</f>
        <v>Car</v>
      </c>
      <c r="AL64" s="3">
        <f ca="1">INDIRECT(ADDRESS(64,3))</f>
        <v>119614708.408329</v>
      </c>
      <c r="AM64" s="4">
        <f ca="1">IFERROR(INDIRECT(ADDRESS(64,3)) / INDIRECT(ADDRESS(68,3)),0)</f>
        <v>0.24662252601206855</v>
      </c>
      <c r="AN64" s="3">
        <f ca="1">INDIRECT(ADDRESS(64,9))</f>
        <v>102789968.083537</v>
      </c>
      <c r="AO64" s="4">
        <f ca="1">IFERROR(INDIRECT(ADDRESS(64,9)) / INDIRECT(ADDRESS(68,9)),0)</f>
        <v>0.25135380681059993</v>
      </c>
      <c r="AP64" s="4">
        <f ca="1">IFERROR((INDIRECT(ADDRESS(64,9)) - INDIRECT(ADDRESS(64,3)))/ INDIRECT(ADDRESS(64,3)),1)</f>
        <v>-0.14065778823250855</v>
      </c>
      <c r="AQ64" s="3">
        <f ca="1">INDIRECT(ADDRESS(64,14))</f>
        <v>68881903.155320004</v>
      </c>
      <c r="AR64" s="4">
        <f ca="1">IFERROR(INDIRECT(ADDRESS(64,14)) / INDIRECT(ADDRESS(68,14)),0)</f>
        <v>0.21752360083952574</v>
      </c>
      <c r="AS64" s="4">
        <f ca="1">IFERROR((INDIRECT(ADDRESS(64,14)) - INDIRECT(ADDRESS(64,3)))/ INDIRECT(ADDRESS(64,3)),1)</f>
        <v>-0.42413517474642248</v>
      </c>
      <c r="AT64" s="3">
        <f ca="1">INDIRECT(ADDRESS(64,19))</f>
        <v>53764122.885900997</v>
      </c>
      <c r="AU64" s="4">
        <f ca="1">IFERROR(INDIRECT(ADDRESS(64,19)) / INDIRECT(ADDRESS(68,19)),0)</f>
        <v>0.20427441562757481</v>
      </c>
      <c r="AV64" s="4">
        <f ca="1">IFERROR((INDIRECT(ADDRESS(64,19)) - INDIRECT(ADDRESS(64,3)))/ INDIRECT(ADDRESS(64,3)),1)</f>
        <v>-0.5505224766977127</v>
      </c>
      <c r="AW64" s="3">
        <f ca="1">INDIRECT(ADDRESS(64,24))</f>
        <v>41353578.799078003</v>
      </c>
      <c r="AX64" s="4">
        <f ca="1">IFERROR(INDIRECT(ADDRESS(64,24)) / INDIRECT(ADDRESS(68,24)),0)</f>
        <v>0.18389095913034995</v>
      </c>
      <c r="AY64" s="4">
        <f ca="1">IFERROR((INDIRECT(ADDRESS(64,24)) - INDIRECT(ADDRESS(64,3)))/ INDIRECT(ADDRESS(64,3)),1)</f>
        <v>-0.65427680801670984</v>
      </c>
      <c r="AZ64" s="3">
        <f ca="1">INDIRECT(ADDRESS(64,29))</f>
        <v>34033376.585643999</v>
      </c>
      <c r="BA64" s="4">
        <f ca="1">IFERROR(INDIRECT(ADDRESS(64,29)) / INDIRECT(ADDRESS(68,29)),0)</f>
        <v>0.16710170860401599</v>
      </c>
      <c r="BB64" s="4">
        <f ca="1">IFERROR((INDIRECT(ADDRESS(64,29)) - INDIRECT(ADDRESS(64,3)))/ INDIRECT(ADDRESS(64,3)),1)</f>
        <v>-0.71547498599031667</v>
      </c>
      <c r="BC64" s="3">
        <f ca="1">INDIRECT(ADDRESS(64,34))</f>
        <v>32392346.112188999</v>
      </c>
      <c r="BD64" s="4">
        <f ca="1">IFERROR(INDIRECT(ADDRESS(64,34)) / INDIRECT(ADDRESS(68,34)),0)</f>
        <v>0.16624124102590199</v>
      </c>
      <c r="BE64" s="4">
        <f ca="1">IFERROR((INDIRECT(ADDRESS(64,34)) - INDIRECT(ADDRESS(64,3)))/ INDIRECT(ADDRESS(64,3)),1)</f>
        <v>-0.72919428937107655</v>
      </c>
    </row>
    <row r="65" spans="1:57" x14ac:dyDescent="0.25">
      <c r="A65" s="5"/>
      <c r="B65" s="1" t="s">
        <v>140</v>
      </c>
      <c r="C65">
        <v>247762338.83683699</v>
      </c>
      <c r="D65">
        <v>227078649.54704401</v>
      </c>
      <c r="E65">
        <v>219703666.48671299</v>
      </c>
      <c r="F65">
        <v>212538860.22265899</v>
      </c>
      <c r="G65">
        <v>205566330.622958</v>
      </c>
      <c r="H65">
        <v>198801168.64114499</v>
      </c>
      <c r="I65">
        <v>192401636.74151999</v>
      </c>
      <c r="J65">
        <v>185478932.40041399</v>
      </c>
      <c r="K65">
        <v>178843599.67136499</v>
      </c>
      <c r="L65">
        <v>172774545.018123</v>
      </c>
      <c r="M65">
        <v>167242925.22453001</v>
      </c>
      <c r="N65">
        <v>162253092.21603799</v>
      </c>
      <c r="O65">
        <v>157628129.54520699</v>
      </c>
      <c r="P65">
        <v>153438319.07936701</v>
      </c>
      <c r="Q65">
        <v>149604348.15246999</v>
      </c>
      <c r="R65">
        <v>146057916.91294</v>
      </c>
      <c r="S65">
        <v>142748383.54087999</v>
      </c>
      <c r="T65">
        <v>139637012.84402299</v>
      </c>
      <c r="U65">
        <v>136703682.71078801</v>
      </c>
      <c r="V65">
        <v>133928308.348658</v>
      </c>
      <c r="W65">
        <v>132760494.58438499</v>
      </c>
      <c r="X65">
        <v>131646135.370635</v>
      </c>
      <c r="Y65">
        <v>130502885.00901499</v>
      </c>
      <c r="Z65">
        <v>129390339.655285</v>
      </c>
      <c r="AA65">
        <v>128299782.04696301</v>
      </c>
      <c r="AB65">
        <v>127222588.02054501</v>
      </c>
      <c r="AC65">
        <v>126151569.053599</v>
      </c>
      <c r="AD65">
        <v>125127045.616831</v>
      </c>
      <c r="AE65">
        <v>124099094.15575001</v>
      </c>
      <c r="AF65">
        <v>123065911.800833</v>
      </c>
      <c r="AG65">
        <v>122026728.55734</v>
      </c>
      <c r="AH65">
        <v>120981261.300814</v>
      </c>
      <c r="AK65" s="3" t="str">
        <f ca="1">INDIRECT(ADDRESS(65,2))</f>
        <v>Heavy Truck</v>
      </c>
      <c r="AL65" s="3">
        <f ca="1">INDIRECT(ADDRESS(65,3))</f>
        <v>247762338.83683699</v>
      </c>
      <c r="AM65" s="4">
        <f ca="1">IFERROR(INDIRECT(ADDRESS(65,3)) / INDIRECT(ADDRESS(68,3)),0)</f>
        <v>0.51083829629052546</v>
      </c>
      <c r="AN65" s="3">
        <f ca="1">INDIRECT(ADDRESS(65,9))</f>
        <v>192401636.74151999</v>
      </c>
      <c r="AO65" s="4">
        <f ca="1">IFERROR(INDIRECT(ADDRESS(65,9)) / INDIRECT(ADDRESS(68,9)),0)</f>
        <v>0.47048252600164781</v>
      </c>
      <c r="AP65" s="4">
        <f ca="1">IFERROR((INDIRECT(ADDRESS(65,9)) - INDIRECT(ADDRESS(65,3)))/ INDIRECT(ADDRESS(65,3)),1)</f>
        <v>-0.22344276517253334</v>
      </c>
      <c r="AQ65" s="3">
        <f ca="1">INDIRECT(ADDRESS(65,14))</f>
        <v>162253092.21603799</v>
      </c>
      <c r="AR65" s="4">
        <f ca="1">IFERROR(INDIRECT(ADDRESS(65,14)) / INDIRECT(ADDRESS(68,14)),0)</f>
        <v>0.5123824291932958</v>
      </c>
      <c r="AS65" s="4">
        <f ca="1">IFERROR((INDIRECT(ADDRESS(65,14)) - INDIRECT(ADDRESS(65,3)))/ INDIRECT(ADDRESS(65,3)),1)</f>
        <v>-0.34512608745234202</v>
      </c>
      <c r="AT65" s="3">
        <f ca="1">INDIRECT(ADDRESS(65,19))</f>
        <v>142748383.54087999</v>
      </c>
      <c r="AU65" s="4">
        <f ca="1">IFERROR(INDIRECT(ADDRESS(65,19)) / INDIRECT(ADDRESS(68,19)),0)</f>
        <v>0.54236619262770491</v>
      </c>
      <c r="AV65" s="4">
        <f ca="1">IFERROR((INDIRECT(ADDRESS(65,19)) - INDIRECT(ADDRESS(65,3)))/ INDIRECT(ADDRESS(65,3)),1)</f>
        <v>-0.4238495478730267</v>
      </c>
      <c r="AW65" s="3">
        <f ca="1">INDIRECT(ADDRESS(65,24))</f>
        <v>131646135.370635</v>
      </c>
      <c r="AX65" s="4">
        <f ca="1">IFERROR(INDIRECT(ADDRESS(65,24)) / INDIRECT(ADDRESS(68,24)),0)</f>
        <v>0.58540360476974473</v>
      </c>
      <c r="AY65" s="4">
        <f ca="1">IFERROR((INDIRECT(ADDRESS(65,24)) - INDIRECT(ADDRESS(65,3)))/ INDIRECT(ADDRESS(65,3)),1)</f>
        <v>-0.46865961958274016</v>
      </c>
      <c r="AZ65" s="3">
        <f ca="1">INDIRECT(ADDRESS(65,29))</f>
        <v>126151569.053599</v>
      </c>
      <c r="BA65" s="4">
        <f ca="1">IFERROR(INDIRECT(ADDRESS(65,29)) / INDIRECT(ADDRESS(68,29)),0)</f>
        <v>0.61939615891142441</v>
      </c>
      <c r="BB65" s="4">
        <f ca="1">IFERROR((INDIRECT(ADDRESS(65,29)) - INDIRECT(ADDRESS(65,3)))/ INDIRECT(ADDRESS(65,3)),1)</f>
        <v>-0.49083638116333866</v>
      </c>
      <c r="BC65" s="3">
        <f ca="1">INDIRECT(ADDRESS(65,34))</f>
        <v>120981261.300814</v>
      </c>
      <c r="BD65" s="4">
        <f ca="1">IFERROR(INDIRECT(ADDRESS(65,34)) / INDIRECT(ADDRESS(68,34)),0)</f>
        <v>0.62088972962530264</v>
      </c>
      <c r="BE65" s="4">
        <f ca="1">IFERROR((INDIRECT(ADDRESS(65,34)) - INDIRECT(ADDRESS(65,3)))/ INDIRECT(ADDRESS(65,3)),1)</f>
        <v>-0.51170439434507531</v>
      </c>
    </row>
    <row r="66" spans="1:57" x14ac:dyDescent="0.25">
      <c r="A66" s="5"/>
      <c r="B66" s="1" t="s">
        <v>141</v>
      </c>
      <c r="C66">
        <v>113751015.381651</v>
      </c>
      <c r="D66">
        <v>120516032.87448999</v>
      </c>
      <c r="E66">
        <v>122359728.749016</v>
      </c>
      <c r="F66">
        <v>120755284.7968</v>
      </c>
      <c r="G66">
        <v>120543478.14167801</v>
      </c>
      <c r="H66">
        <v>117111001.073653</v>
      </c>
      <c r="I66">
        <v>110073266.02913301</v>
      </c>
      <c r="J66">
        <v>105268629.363755</v>
      </c>
      <c r="K66">
        <v>99870430.368995994</v>
      </c>
      <c r="L66">
        <v>93495355.251060992</v>
      </c>
      <c r="M66">
        <v>87090913.191992998</v>
      </c>
      <c r="N66">
        <v>82051332.762758002</v>
      </c>
      <c r="O66">
        <v>77528599.685928002</v>
      </c>
      <c r="P66">
        <v>73897178.576437995</v>
      </c>
      <c r="Q66">
        <v>70749337.591899008</v>
      </c>
      <c r="R66">
        <v>66467202.501400001</v>
      </c>
      <c r="S66">
        <v>63408108.709790006</v>
      </c>
      <c r="T66">
        <v>59994068.333760001</v>
      </c>
      <c r="U66">
        <v>56597063.342037998</v>
      </c>
      <c r="V66">
        <v>53405066.923</v>
      </c>
      <c r="W66">
        <v>50920079.829245999</v>
      </c>
      <c r="X66">
        <v>48727953.510530002</v>
      </c>
      <c r="Y66">
        <v>46590350.199355997</v>
      </c>
      <c r="Z66">
        <v>44622236.368183002</v>
      </c>
      <c r="AA66">
        <v>42901560.998839997</v>
      </c>
      <c r="AB66">
        <v>41470952.954148002</v>
      </c>
      <c r="AC66">
        <v>40330376.822172001</v>
      </c>
      <c r="AD66">
        <v>39466004.363596</v>
      </c>
      <c r="AE66">
        <v>38874247.829216003</v>
      </c>
      <c r="AF66">
        <v>38522365.425159</v>
      </c>
      <c r="AG66">
        <v>38362790.075903997</v>
      </c>
      <c r="AH66">
        <v>38324527.394377999</v>
      </c>
      <c r="AK66" s="3" t="str">
        <f ca="1">INDIRECT(ADDRESS(66,2))</f>
        <v>Light Truck</v>
      </c>
      <c r="AL66" s="3">
        <f ca="1">INDIRECT(ADDRESS(66,3))</f>
        <v>113751015.381651</v>
      </c>
      <c r="AM66" s="4">
        <f ca="1">IFERROR(INDIRECT(ADDRESS(66,3)) / INDIRECT(ADDRESS(68,3)),0)</f>
        <v>0.23453271861930158</v>
      </c>
      <c r="AN66" s="3">
        <f ca="1">INDIRECT(ADDRESS(66,9))</f>
        <v>110073266.02913301</v>
      </c>
      <c r="AO66" s="4">
        <f ca="1">IFERROR(INDIRECT(ADDRESS(66,9)) / INDIRECT(ADDRESS(68,9)),0)</f>
        <v>0.26916376140921977</v>
      </c>
      <c r="AP66" s="4">
        <f ca="1">IFERROR((INDIRECT(ADDRESS(66,9)) - INDIRECT(ADDRESS(66,3)))/ INDIRECT(ADDRESS(66,3)),1)</f>
        <v>-3.2331573834120206E-2</v>
      </c>
      <c r="AQ66" s="3">
        <f ca="1">INDIRECT(ADDRESS(66,14))</f>
        <v>82051332.762758002</v>
      </c>
      <c r="AR66" s="4">
        <f ca="1">IFERROR(INDIRECT(ADDRESS(66,14)) / INDIRECT(ADDRESS(68,14)),0)</f>
        <v>0.25911161769139934</v>
      </c>
      <c r="AS66" s="4">
        <f ca="1">IFERROR((INDIRECT(ADDRESS(66,14)) - INDIRECT(ADDRESS(66,3)))/ INDIRECT(ADDRESS(66,3)),1)</f>
        <v>-0.27867604093498427</v>
      </c>
      <c r="AT66" s="3">
        <f ca="1">INDIRECT(ADDRESS(66,19))</f>
        <v>63408108.709790006</v>
      </c>
      <c r="AU66" s="4">
        <f ca="1">IFERROR(INDIRECT(ADDRESS(66,19)) / INDIRECT(ADDRESS(68,19)),0)</f>
        <v>0.24091631477426687</v>
      </c>
      <c r="AV66" s="4">
        <f ca="1">IFERROR((INDIRECT(ADDRESS(66,19)) - INDIRECT(ADDRESS(66,3)))/ INDIRECT(ADDRESS(66,3)),1)</f>
        <v>-0.44257105312821438</v>
      </c>
      <c r="AW66" s="3">
        <f ca="1">INDIRECT(ADDRESS(66,24))</f>
        <v>48727953.510530002</v>
      </c>
      <c r="AX66" s="4">
        <f ca="1">IFERROR(INDIRECT(ADDRESS(66,24)) / INDIRECT(ADDRESS(68,24)),0)</f>
        <v>0.21668330451027967</v>
      </c>
      <c r="AY66" s="4">
        <f ca="1">IFERROR((INDIRECT(ADDRESS(66,24)) - INDIRECT(ADDRESS(66,3)))/ INDIRECT(ADDRESS(66,3)),1)</f>
        <v>-0.57162621057015872</v>
      </c>
      <c r="AZ66" s="3">
        <f ca="1">INDIRECT(ADDRESS(66,29))</f>
        <v>40330376.822172001</v>
      </c>
      <c r="BA66" s="4">
        <f ca="1">IFERROR(INDIRECT(ADDRESS(66,29)) / INDIRECT(ADDRESS(68,29)),0)</f>
        <v>0.19801957818289226</v>
      </c>
      <c r="BB66" s="4">
        <f ca="1">IFERROR((INDIRECT(ADDRESS(66,29)) - INDIRECT(ADDRESS(66,3)))/ INDIRECT(ADDRESS(66,3)),1)</f>
        <v>-0.64545040159107336</v>
      </c>
      <c r="BC66" s="3">
        <f ca="1">INDIRECT(ADDRESS(66,34))</f>
        <v>38324527.394377999</v>
      </c>
      <c r="BD66" s="4">
        <f ca="1">IFERROR(INDIRECT(ADDRESS(66,34)) / INDIRECT(ADDRESS(68,34)),0)</f>
        <v>0.19668587677183322</v>
      </c>
      <c r="BE66" s="4">
        <f ca="1">IFERROR((INDIRECT(ADDRESS(66,34)) - INDIRECT(ADDRESS(66,3)))/ INDIRECT(ADDRESS(66,3)),1)</f>
        <v>-0.66308408530865681</v>
      </c>
    </row>
    <row r="67" spans="1:57" x14ac:dyDescent="0.25">
      <c r="A67" s="5"/>
      <c r="B67" s="1" t="s">
        <v>142</v>
      </c>
      <c r="C67">
        <v>3883223.0108770002</v>
      </c>
      <c r="D67">
        <v>3883223.008779</v>
      </c>
      <c r="E67">
        <v>3842672.1623129998</v>
      </c>
      <c r="F67">
        <v>3802121.697191</v>
      </c>
      <c r="G67">
        <v>3761571.071641</v>
      </c>
      <c r="H67">
        <v>3721020.189888</v>
      </c>
      <c r="I67">
        <v>3680469.532046</v>
      </c>
      <c r="J67">
        <v>3639918.906895</v>
      </c>
      <c r="K67">
        <v>3599368.2504509999</v>
      </c>
      <c r="L67">
        <v>3558817.4011900001</v>
      </c>
      <c r="M67">
        <v>3518266.7126560002</v>
      </c>
      <c r="N67">
        <v>3477716.0867059999</v>
      </c>
      <c r="O67">
        <v>3437165.4326590002</v>
      </c>
      <c r="P67">
        <v>3396614.773819</v>
      </c>
      <c r="Q67">
        <v>3356063.925357</v>
      </c>
      <c r="R67">
        <v>3315513.2689129999</v>
      </c>
      <c r="S67">
        <v>3274962.8349830001</v>
      </c>
      <c r="T67">
        <v>3234411.9536310001</v>
      </c>
      <c r="U67">
        <v>3193861.1051659998</v>
      </c>
      <c r="V67">
        <v>3153310.672036001</v>
      </c>
      <c r="W67">
        <v>3153310.6720349998</v>
      </c>
      <c r="X67">
        <v>3153310.6704370002</v>
      </c>
      <c r="Y67">
        <v>3153310.6704370002</v>
      </c>
      <c r="Z67">
        <v>3153310.6720349998</v>
      </c>
      <c r="AA67">
        <v>3153310.6704370002</v>
      </c>
      <c r="AB67">
        <v>3153310.6736329999</v>
      </c>
      <c r="AC67">
        <v>3153310.6720349998</v>
      </c>
      <c r="AD67">
        <v>3153310.6720349998</v>
      </c>
      <c r="AE67">
        <v>3153310.6704370002</v>
      </c>
      <c r="AF67">
        <v>3153310.6704370002</v>
      </c>
      <c r="AG67">
        <v>3153310.6720349998</v>
      </c>
      <c r="AH67">
        <v>3153310.6720349998</v>
      </c>
      <c r="AK67" s="3" t="str">
        <f ca="1">INDIRECT(ADDRESS(67,2))</f>
        <v>Urban Bus</v>
      </c>
      <c r="AL67" s="3">
        <f ca="1">INDIRECT(ADDRESS(67,3))</f>
        <v>3883223.0108770002</v>
      </c>
      <c r="AM67" s="4">
        <f ca="1">IFERROR(INDIRECT(ADDRESS(67,3)) / INDIRECT(ADDRESS(68,3)),0)</f>
        <v>8.0064590781043984E-3</v>
      </c>
      <c r="AN67" s="3">
        <f ca="1">INDIRECT(ADDRESS(67,9))</f>
        <v>3680469.532046</v>
      </c>
      <c r="AO67" s="4">
        <f ca="1">IFERROR(INDIRECT(ADDRESS(67,9)) / INDIRECT(ADDRESS(68,9)),0)</f>
        <v>8.9999057785324372E-3</v>
      </c>
      <c r="AP67" s="4">
        <f ca="1">IFERROR((INDIRECT(ADDRESS(67,9)) - INDIRECT(ADDRESS(67,3)))/ INDIRECT(ADDRESS(67,3)),1)</f>
        <v>-5.2212679586797574E-2</v>
      </c>
      <c r="AQ67" s="3">
        <f ca="1">INDIRECT(ADDRESS(67,14))</f>
        <v>3477716.0867059999</v>
      </c>
      <c r="AR67" s="4">
        <f ca="1">IFERROR(INDIRECT(ADDRESS(67,14)) / INDIRECT(ADDRESS(68,14)),0)</f>
        <v>1.0982352275779234E-2</v>
      </c>
      <c r="AS67" s="4">
        <f ca="1">IFERROR((INDIRECT(ADDRESS(67,14)) - INDIRECT(ADDRESS(67,3)))/ INDIRECT(ADDRESS(67,3)),1)</f>
        <v>-0.10442535054905827</v>
      </c>
      <c r="AT67" s="3">
        <f ca="1">INDIRECT(ADDRESS(67,19))</f>
        <v>3274962.8349830001</v>
      </c>
      <c r="AU67" s="4">
        <f ca="1">IFERROR(INDIRECT(ADDRESS(67,19)) / INDIRECT(ADDRESS(68,19)),0)</f>
        <v>1.244307697045334E-2</v>
      </c>
      <c r="AV67" s="4">
        <f ca="1">IFERROR((INDIRECT(ADDRESS(67,19)) - INDIRECT(ADDRESS(67,3)))/ INDIRECT(ADDRESS(67,3)),1)</f>
        <v>-0.15663797165144749</v>
      </c>
      <c r="AW67" s="3">
        <f ca="1">INDIRECT(ADDRESS(67,24))</f>
        <v>3153310.6704370002</v>
      </c>
      <c r="AX67" s="4">
        <f ca="1">IFERROR(INDIRECT(ADDRESS(67,24)) / INDIRECT(ADDRESS(68,24)),0)</f>
        <v>1.4022131589625687E-2</v>
      </c>
      <c r="AY67" s="4">
        <f ca="1">IFERROR((INDIRECT(ADDRESS(67,24)) - INDIRECT(ADDRESS(67,3)))/ INDIRECT(ADDRESS(67,3)),1)</f>
        <v>-0.18796559929612544</v>
      </c>
      <c r="AZ67" s="3">
        <f ca="1">INDIRECT(ADDRESS(67,29))</f>
        <v>3153310.6720349998</v>
      </c>
      <c r="BA67" s="4">
        <f ca="1">IFERROR(INDIRECT(ADDRESS(67,29)) / INDIRECT(ADDRESS(68,29)),0)</f>
        <v>1.548255430166732E-2</v>
      </c>
      <c r="BB67" s="4">
        <f ca="1">IFERROR((INDIRECT(ADDRESS(67,29)) - INDIRECT(ADDRESS(67,3)))/ INDIRECT(ADDRESS(67,3)),1)</f>
        <v>-0.1879655988846117</v>
      </c>
      <c r="BC67" s="3">
        <f ca="1">INDIRECT(ADDRESS(67,34))</f>
        <v>3153310.6720349998</v>
      </c>
      <c r="BD67" s="4">
        <f ca="1">IFERROR(INDIRECT(ADDRESS(67,34)) / INDIRECT(ADDRESS(68,34)),0)</f>
        <v>1.6183152576962092E-2</v>
      </c>
      <c r="BE67" s="4">
        <f ca="1">IFERROR((INDIRECT(ADDRESS(67,34)) - INDIRECT(ADDRESS(67,3)))/ INDIRECT(ADDRESS(67,3)),1)</f>
        <v>-0.1879655988846117</v>
      </c>
    </row>
    <row r="68" spans="1:57" x14ac:dyDescent="0.25">
      <c r="A68" s="1" t="s">
        <v>21</v>
      </c>
      <c r="B68" s="1"/>
      <c r="C68">
        <v>485011285.637694</v>
      </c>
      <c r="D68">
        <v>476251318.30788201</v>
      </c>
      <c r="E68">
        <v>468731671.29233998</v>
      </c>
      <c r="F68">
        <v>458008187.227112</v>
      </c>
      <c r="G68">
        <v>448366847.52575701</v>
      </c>
      <c r="H68">
        <v>434172036.95278412</v>
      </c>
      <c r="I68">
        <v>408945340.38623601</v>
      </c>
      <c r="J68">
        <v>391007330.47014189</v>
      </c>
      <c r="K68">
        <v>371579998.757043</v>
      </c>
      <c r="L68">
        <v>351567376.11194801</v>
      </c>
      <c r="M68">
        <v>332471447.83422798</v>
      </c>
      <c r="N68">
        <v>316664044.22082198</v>
      </c>
      <c r="O68">
        <v>303586307.34400803</v>
      </c>
      <c r="P68">
        <v>292817267.177616</v>
      </c>
      <c r="Q68">
        <v>283265003.06838</v>
      </c>
      <c r="R68">
        <v>271947294.61590803</v>
      </c>
      <c r="S68">
        <v>263195577.97155401</v>
      </c>
      <c r="T68">
        <v>253924802.02806699</v>
      </c>
      <c r="U68">
        <v>244695972.163293</v>
      </c>
      <c r="V68">
        <v>235940895.09630001</v>
      </c>
      <c r="W68">
        <v>230108811.582187</v>
      </c>
      <c r="X68">
        <v>224880978.35067999</v>
      </c>
      <c r="Y68">
        <v>219722386.92099899</v>
      </c>
      <c r="Z68">
        <v>214918188.990125</v>
      </c>
      <c r="AA68">
        <v>210606466.13601199</v>
      </c>
      <c r="AB68">
        <v>206858576.84486899</v>
      </c>
      <c r="AC68">
        <v>203668633.13345</v>
      </c>
      <c r="AD68">
        <v>201040363.180655</v>
      </c>
      <c r="AE68">
        <v>198921579.27481201</v>
      </c>
      <c r="AF68">
        <v>197252128.40878299</v>
      </c>
      <c r="AG68">
        <v>195941573.939464</v>
      </c>
      <c r="AH68">
        <v>194851445.47941601</v>
      </c>
    </row>
    <row r="69" spans="1:57" x14ac:dyDescent="0.25">
      <c r="A69" s="5" t="s">
        <v>4</v>
      </c>
      <c r="B69" s="1" t="s">
        <v>139</v>
      </c>
      <c r="C69">
        <v>119614708.408329</v>
      </c>
      <c r="D69">
        <v>124773412.64591999</v>
      </c>
      <c r="E69">
        <v>124206742.59431601</v>
      </c>
      <c r="F69">
        <v>123696038.110496</v>
      </c>
      <c r="G69">
        <v>122738432.142758</v>
      </c>
      <c r="H69">
        <v>120945809.490996</v>
      </c>
      <c r="I69">
        <v>111030039.86690401</v>
      </c>
      <c r="J69">
        <v>107045739.205531</v>
      </c>
      <c r="K69">
        <v>102210385.91589101</v>
      </c>
      <c r="L69">
        <v>97571228.254133999</v>
      </c>
      <c r="M69">
        <v>93531447.220109001</v>
      </c>
      <c r="N69">
        <v>91034559.089906991</v>
      </c>
      <c r="O69">
        <v>90325359.952179998</v>
      </c>
      <c r="P69">
        <v>90561233.232963994</v>
      </c>
      <c r="Q69">
        <v>91123239.932534993</v>
      </c>
      <c r="R69">
        <v>90844510.822588995</v>
      </c>
      <c r="S69">
        <v>91605149.341675997</v>
      </c>
      <c r="T69">
        <v>91986310.280133992</v>
      </c>
      <c r="U69">
        <v>92161333.841414005</v>
      </c>
      <c r="V69">
        <v>92301893.908151999</v>
      </c>
      <c r="W69">
        <v>92556056.375083014</v>
      </c>
      <c r="X69">
        <v>92952316.629314005</v>
      </c>
      <c r="Y69">
        <v>93223679.977142006</v>
      </c>
      <c r="Z69">
        <v>93400756.993584007</v>
      </c>
      <c r="AA69">
        <v>93520351.737085998</v>
      </c>
      <c r="AB69">
        <v>93661739.282098994</v>
      </c>
      <c r="AC69">
        <v>93884577.932614014</v>
      </c>
      <c r="AD69">
        <v>94188864.067038</v>
      </c>
      <c r="AE69">
        <v>94644556.704128012</v>
      </c>
      <c r="AF69">
        <v>95268551.755357996</v>
      </c>
      <c r="AG69">
        <v>96046851.360544994</v>
      </c>
      <c r="AH69">
        <v>96900763.133591011</v>
      </c>
      <c r="AK69" s="3" t="str">
        <f ca="1">INDIRECT(ADDRESS(69,2))</f>
        <v>Car</v>
      </c>
      <c r="AL69" s="3">
        <f ca="1">INDIRECT(ADDRESS(69,3))</f>
        <v>119614708.408329</v>
      </c>
      <c r="AM69" s="4">
        <f ca="1">IFERROR(INDIRECT(ADDRESS(69,3)) / INDIRECT(ADDRESS(73,3)),0)</f>
        <v>0.24662252601206855</v>
      </c>
      <c r="AN69" s="3">
        <f ca="1">INDIRECT(ADDRESS(69,9))</f>
        <v>111030039.86690401</v>
      </c>
      <c r="AO69" s="4">
        <f ca="1">IFERROR(INDIRECT(ADDRESS(69,9)) / INDIRECT(ADDRESS(73,9)),0)</f>
        <v>0.24682444730797187</v>
      </c>
      <c r="AP69" s="4">
        <f ca="1">IFERROR((INDIRECT(ADDRESS(69,9)) - INDIRECT(ADDRESS(69,3)))/ INDIRECT(ADDRESS(69,3)),1)</f>
        <v>-7.1769338868590368E-2</v>
      </c>
      <c r="AQ69" s="3">
        <f ca="1">INDIRECT(ADDRESS(69,14))</f>
        <v>91034559.089906991</v>
      </c>
      <c r="AR69" s="4">
        <f ca="1">IFERROR(INDIRECT(ADDRESS(69,14)) / INDIRECT(ADDRESS(73,14)),0)</f>
        <v>0.22487171624235325</v>
      </c>
      <c r="AS69" s="4">
        <f ca="1">IFERROR((INDIRECT(ADDRESS(69,14)) - INDIRECT(ADDRESS(69,3)))/ INDIRECT(ADDRESS(69,3)),1)</f>
        <v>-0.2389350749479561</v>
      </c>
      <c r="AT69" s="3">
        <f ca="1">INDIRECT(ADDRESS(69,19))</f>
        <v>91605149.341675997</v>
      </c>
      <c r="AU69" s="4">
        <f ca="1">IFERROR(INDIRECT(ADDRESS(69,19)) / INDIRECT(ADDRESS(73,19)),0)</f>
        <v>0.22886797949096452</v>
      </c>
      <c r="AV69" s="4">
        <f ca="1">IFERROR((INDIRECT(ADDRESS(69,19)) - INDIRECT(ADDRESS(69,3)))/ INDIRECT(ADDRESS(69,3)),1)</f>
        <v>-0.23416484008836694</v>
      </c>
      <c r="AW69" s="3">
        <f ca="1">INDIRECT(ADDRESS(69,24))</f>
        <v>92952316.629314005</v>
      </c>
      <c r="AX69" s="4">
        <f ca="1">IFERROR(INDIRECT(ADDRESS(69,24)) / INDIRECT(ADDRESS(73,24)),0)</f>
        <v>0.23064422756707592</v>
      </c>
      <c r="AY69" s="4">
        <f ca="1">IFERROR((INDIRECT(ADDRESS(69,24)) - INDIRECT(ADDRESS(69,3)))/ INDIRECT(ADDRESS(69,3)),1)</f>
        <v>-0.22290228462537837</v>
      </c>
      <c r="AZ69" s="3">
        <f ca="1">INDIRECT(ADDRESS(69,29))</f>
        <v>93884577.932614014</v>
      </c>
      <c r="BA69" s="4">
        <f ca="1">IFERROR(INDIRECT(ADDRESS(69,29)) / INDIRECT(ADDRESS(73,29)),0)</f>
        <v>0.23051724305106203</v>
      </c>
      <c r="BB69" s="4">
        <f ca="1">IFERROR((INDIRECT(ADDRESS(69,29)) - INDIRECT(ADDRESS(69,3)))/ INDIRECT(ADDRESS(69,3)),1)</f>
        <v>-0.21510841616467416</v>
      </c>
      <c r="BC69" s="3">
        <f ca="1">INDIRECT(ADDRESS(69,34))</f>
        <v>96900763.133591011</v>
      </c>
      <c r="BD69" s="4">
        <f ca="1">IFERROR(INDIRECT(ADDRESS(69,34)) / INDIRECT(ADDRESS(73,34)),0)</f>
        <v>0.2327227398426934</v>
      </c>
      <c r="BE69" s="4">
        <f ca="1">IFERROR((INDIRECT(ADDRESS(69,34)) - INDIRECT(ADDRESS(69,3)))/ INDIRECT(ADDRESS(69,3)),1)</f>
        <v>-0.18989257740109466</v>
      </c>
    </row>
    <row r="70" spans="1:57" x14ac:dyDescent="0.25">
      <c r="A70" s="5"/>
      <c r="B70" s="1" t="s">
        <v>140</v>
      </c>
      <c r="C70">
        <v>247762338.83683699</v>
      </c>
      <c r="D70">
        <v>228537778.456175</v>
      </c>
      <c r="E70">
        <v>226062678.52679399</v>
      </c>
      <c r="F70">
        <v>223573722.79473099</v>
      </c>
      <c r="G70">
        <v>221054322.09354001</v>
      </c>
      <c r="H70">
        <v>218521944.14504701</v>
      </c>
      <c r="I70">
        <v>216161955.04734999</v>
      </c>
      <c r="J70">
        <v>212967556.92756</v>
      </c>
      <c r="K70">
        <v>209838963.49907199</v>
      </c>
      <c r="L70">
        <v>207135275.67700201</v>
      </c>
      <c r="M70">
        <v>204859042.63135701</v>
      </c>
      <c r="N70">
        <v>203053493.73435599</v>
      </c>
      <c r="O70">
        <v>201531854.37572399</v>
      </c>
      <c r="P70">
        <v>200410801.315483</v>
      </c>
      <c r="Q70">
        <v>199615118.40536499</v>
      </c>
      <c r="R70">
        <v>199075847.987418</v>
      </c>
      <c r="S70">
        <v>198741340.11718899</v>
      </c>
      <c r="T70">
        <v>198572289.84371099</v>
      </c>
      <c r="U70">
        <v>198551279.76154301</v>
      </c>
      <c r="V70">
        <v>198659126.97154599</v>
      </c>
      <c r="W70">
        <v>198877126.62344599</v>
      </c>
      <c r="X70">
        <v>199188378.80095699</v>
      </c>
      <c r="Y70">
        <v>199468974.13966399</v>
      </c>
      <c r="Z70">
        <v>199808740.09515101</v>
      </c>
      <c r="AA70">
        <v>200194885.799844</v>
      </c>
      <c r="AB70">
        <v>200613862.164837</v>
      </c>
      <c r="AC70">
        <v>201053850.68411899</v>
      </c>
      <c r="AD70">
        <v>201579332.410218</v>
      </c>
      <c r="AE70">
        <v>202110980.694626</v>
      </c>
      <c r="AF70">
        <v>202645575.50427699</v>
      </c>
      <c r="AG70">
        <v>203181709.76589599</v>
      </c>
      <c r="AH70">
        <v>203718905.37431601</v>
      </c>
      <c r="AK70" s="3" t="str">
        <f ca="1">INDIRECT(ADDRESS(70,2))</f>
        <v>Heavy Truck</v>
      </c>
      <c r="AL70" s="3">
        <f ca="1">INDIRECT(ADDRESS(70,3))</f>
        <v>247762338.83683699</v>
      </c>
      <c r="AM70" s="4">
        <f ca="1">IFERROR(INDIRECT(ADDRESS(70,3)) / INDIRECT(ADDRESS(73,3)),0)</f>
        <v>0.51083829629052546</v>
      </c>
      <c r="AN70" s="3">
        <f ca="1">INDIRECT(ADDRESS(70,9))</f>
        <v>216161955.04734999</v>
      </c>
      <c r="AO70" s="4">
        <f ca="1">IFERROR(INDIRECT(ADDRESS(70,9)) / INDIRECT(ADDRESS(73,9)),0)</f>
        <v>0.48053711542867483</v>
      </c>
      <c r="AP70" s="4">
        <f ca="1">IFERROR((INDIRECT(ADDRESS(70,9)) - INDIRECT(ADDRESS(70,3)))/ INDIRECT(ADDRESS(70,3)),1)</f>
        <v>-0.1275431283779466</v>
      </c>
      <c r="AQ70" s="3">
        <f ca="1">INDIRECT(ADDRESS(70,14))</f>
        <v>203053493.73435599</v>
      </c>
      <c r="AR70" s="4">
        <f ca="1">IFERROR(INDIRECT(ADDRESS(70,14)) / INDIRECT(ADDRESS(73,14)),0)</f>
        <v>0.50157861016226957</v>
      </c>
      <c r="AS70" s="4">
        <f ca="1">IFERROR((INDIRECT(ADDRESS(70,14)) - INDIRECT(ADDRESS(70,3)))/ INDIRECT(ADDRESS(70,3)),1)</f>
        <v>-0.1804505289721367</v>
      </c>
      <c r="AT70" s="3">
        <f ca="1">INDIRECT(ADDRESS(70,19))</f>
        <v>198741340.11718899</v>
      </c>
      <c r="AU70" s="4">
        <f ca="1">IFERROR(INDIRECT(ADDRESS(70,19)) / INDIRECT(ADDRESS(73,19)),0)</f>
        <v>0.49653899677945135</v>
      </c>
      <c r="AV70" s="4">
        <f ca="1">IFERROR((INDIRECT(ADDRESS(70,19)) - INDIRECT(ADDRESS(70,3)))/ INDIRECT(ADDRESS(70,3)),1)</f>
        <v>-0.1978549239960582</v>
      </c>
      <c r="AW70" s="3">
        <f ca="1">INDIRECT(ADDRESS(70,24))</f>
        <v>199188378.80095699</v>
      </c>
      <c r="AX70" s="4">
        <f ca="1">IFERROR(INDIRECT(ADDRESS(70,24)) / INDIRECT(ADDRESS(73,24)),0)</f>
        <v>0.4942496479361162</v>
      </c>
      <c r="AY70" s="4">
        <f ca="1">IFERROR((INDIRECT(ADDRESS(70,24)) - INDIRECT(ADDRESS(70,3)))/ INDIRECT(ADDRESS(70,3)),1)</f>
        <v>-0.19605061957325245</v>
      </c>
      <c r="AZ70" s="3">
        <f ca="1">INDIRECT(ADDRESS(70,29))</f>
        <v>201053850.68411899</v>
      </c>
      <c r="BA70" s="4">
        <f ca="1">IFERROR(INDIRECT(ADDRESS(70,29)) / INDIRECT(ADDRESS(73,29)),0)</f>
        <v>0.49365274238936524</v>
      </c>
      <c r="BB70" s="4">
        <f ca="1">IFERROR((INDIRECT(ADDRESS(70,29)) - INDIRECT(ADDRESS(70,3)))/ INDIRECT(ADDRESS(70,3)),1)</f>
        <v>-0.18852134013586994</v>
      </c>
      <c r="BC70" s="3">
        <f ca="1">INDIRECT(ADDRESS(70,34))</f>
        <v>203718905.37431601</v>
      </c>
      <c r="BD70" s="4">
        <f ca="1">IFERROR(INDIRECT(ADDRESS(70,34)) / INDIRECT(ADDRESS(73,34)),0)</f>
        <v>0.4892636578218067</v>
      </c>
      <c r="BE70" s="4">
        <f ca="1">IFERROR((INDIRECT(ADDRESS(70,34)) - INDIRECT(ADDRESS(70,3)))/ INDIRECT(ADDRESS(70,3)),1)</f>
        <v>-0.17776484379865995</v>
      </c>
    </row>
    <row r="71" spans="1:57" x14ac:dyDescent="0.25">
      <c r="A71" s="5"/>
      <c r="B71" s="1" t="s">
        <v>141</v>
      </c>
      <c r="C71">
        <v>113751015.381651</v>
      </c>
      <c r="D71">
        <v>120516033.118628</v>
      </c>
      <c r="E71">
        <v>123732461.091243</v>
      </c>
      <c r="F71">
        <v>123526143.90308701</v>
      </c>
      <c r="G71">
        <v>124833871.333023</v>
      </c>
      <c r="H71">
        <v>123613748.20164301</v>
      </c>
      <c r="I71">
        <v>118758828.409903</v>
      </c>
      <c r="J71">
        <v>116379192.37829401</v>
      </c>
      <c r="K71">
        <v>113875437.419843</v>
      </c>
      <c r="L71">
        <v>110812976.780508</v>
      </c>
      <c r="M71">
        <v>107997884.05872101</v>
      </c>
      <c r="N71">
        <v>106857577.750875</v>
      </c>
      <c r="O71">
        <v>105995066.394991</v>
      </c>
      <c r="P71">
        <v>105964051.705596</v>
      </c>
      <c r="Q71">
        <v>106355363.13206901</v>
      </c>
      <c r="R71">
        <v>105632835.509183</v>
      </c>
      <c r="S71">
        <v>106023523.24009199</v>
      </c>
      <c r="T71">
        <v>106017309.42981701</v>
      </c>
      <c r="U71">
        <v>106043285.81961501</v>
      </c>
      <c r="V71">
        <v>106158308.29762</v>
      </c>
      <c r="W71">
        <v>106494466.66114999</v>
      </c>
      <c r="X71">
        <v>106987757.202179</v>
      </c>
      <c r="Y71">
        <v>107367872.062084</v>
      </c>
      <c r="Z71">
        <v>107659193.759284</v>
      </c>
      <c r="AA71">
        <v>107896066.824681</v>
      </c>
      <c r="AB71">
        <v>108145006.325001</v>
      </c>
      <c r="AC71">
        <v>108456245.202208</v>
      </c>
      <c r="AD71">
        <v>108860026.455073</v>
      </c>
      <c r="AE71">
        <v>109415015.047328</v>
      </c>
      <c r="AF71">
        <v>110123983.666274</v>
      </c>
      <c r="AG71">
        <v>110967682.516801</v>
      </c>
      <c r="AH71">
        <v>111875684.976675</v>
      </c>
      <c r="AK71" s="3" t="str">
        <f ca="1">INDIRECT(ADDRESS(71,2))</f>
        <v>Light Truck</v>
      </c>
      <c r="AL71" s="3">
        <f ca="1">INDIRECT(ADDRESS(71,3))</f>
        <v>113751015.381651</v>
      </c>
      <c r="AM71" s="4">
        <f ca="1">IFERROR(INDIRECT(ADDRESS(71,3)) / INDIRECT(ADDRESS(73,3)),0)</f>
        <v>0.23453271861930158</v>
      </c>
      <c r="AN71" s="3">
        <f ca="1">INDIRECT(ADDRESS(71,9))</f>
        <v>118758828.409903</v>
      </c>
      <c r="AO71" s="4">
        <f ca="1">IFERROR(INDIRECT(ADDRESS(71,9)) / INDIRECT(ADDRESS(73,9)),0)</f>
        <v>0.26400586922561409</v>
      </c>
      <c r="AP71" s="4">
        <f ca="1">IFERROR((INDIRECT(ADDRESS(71,9)) - INDIRECT(ADDRESS(71,3)))/ INDIRECT(ADDRESS(71,3)),1)</f>
        <v>4.4024336938444666E-2</v>
      </c>
      <c r="AQ71" s="3">
        <f ca="1">INDIRECT(ADDRESS(71,14))</f>
        <v>106857577.750875</v>
      </c>
      <c r="AR71" s="4">
        <f ca="1">IFERROR(INDIRECT(ADDRESS(71,14)) / INDIRECT(ADDRESS(73,14)),0)</f>
        <v>0.26395741510219589</v>
      </c>
      <c r="AS71" s="4">
        <f ca="1">IFERROR((INDIRECT(ADDRESS(71,14)) - INDIRECT(ADDRESS(71,3)))/ INDIRECT(ADDRESS(71,3)),1)</f>
        <v>-6.0601108549647044E-2</v>
      </c>
      <c r="AT71" s="3">
        <f ca="1">INDIRECT(ADDRESS(71,19))</f>
        <v>106023523.24009199</v>
      </c>
      <c r="AU71" s="4">
        <f ca="1">IFERROR(INDIRECT(ADDRESS(71,19)) / INDIRECT(ADDRESS(73,19)),0)</f>
        <v>0.26489110838044971</v>
      </c>
      <c r="AV71" s="4">
        <f ca="1">IFERROR((INDIRECT(ADDRESS(71,19)) - INDIRECT(ADDRESS(71,3)))/ INDIRECT(ADDRESS(71,3)),1)</f>
        <v>-6.7933390446073452E-2</v>
      </c>
      <c r="AW71" s="3">
        <f ca="1">INDIRECT(ADDRESS(71,24))</f>
        <v>106987757.202179</v>
      </c>
      <c r="AX71" s="4">
        <f ca="1">IFERROR(INDIRECT(ADDRESS(71,24)) / INDIRECT(ADDRESS(73,24)),0)</f>
        <v>0.26547061454569959</v>
      </c>
      <c r="AY71" s="4">
        <f ca="1">IFERROR((INDIRECT(ADDRESS(71,24)) - INDIRECT(ADDRESS(71,3)))/ INDIRECT(ADDRESS(71,3)),1)</f>
        <v>-5.9456684028536329E-2</v>
      </c>
      <c r="AZ71" s="3">
        <f ca="1">INDIRECT(ADDRESS(71,29))</f>
        <v>108456245.202208</v>
      </c>
      <c r="BA71" s="4">
        <f ca="1">IFERROR(INDIRECT(ADDRESS(71,29)) / INDIRECT(ADDRESS(73,29)),0)</f>
        <v>0.26629543622838187</v>
      </c>
      <c r="BB71" s="4">
        <f ca="1">IFERROR((INDIRECT(ADDRESS(71,29)) - INDIRECT(ADDRESS(71,3)))/ INDIRECT(ADDRESS(71,3)),1)</f>
        <v>-4.6547014650183891E-2</v>
      </c>
      <c r="BC71" s="3">
        <f ca="1">INDIRECT(ADDRESS(71,34))</f>
        <v>111875684.976675</v>
      </c>
      <c r="BD71" s="4">
        <f ca="1">IFERROR(INDIRECT(ADDRESS(71,34)) / INDIRECT(ADDRESS(73,34)),0)</f>
        <v>0.26868741883544955</v>
      </c>
      <c r="BE71" s="4">
        <f ca="1">IFERROR((INDIRECT(ADDRESS(71,34)) - INDIRECT(ADDRESS(71,3)))/ INDIRECT(ADDRESS(71,3)),1)</f>
        <v>-1.6486273979040914E-2</v>
      </c>
    </row>
    <row r="72" spans="1:57" x14ac:dyDescent="0.25">
      <c r="A72" s="5"/>
      <c r="B72" s="1" t="s">
        <v>142</v>
      </c>
      <c r="C72">
        <v>3883223.0108770002</v>
      </c>
      <c r="D72">
        <v>3883223.0097770002</v>
      </c>
      <c r="E72">
        <v>3883223.009478</v>
      </c>
      <c r="F72">
        <v>3883223.0100770001</v>
      </c>
      <c r="G72">
        <v>3883223.0108770002</v>
      </c>
      <c r="H72">
        <v>3883223.0088789999</v>
      </c>
      <c r="I72">
        <v>3883223.010677</v>
      </c>
      <c r="J72">
        <v>3883223.0086790002</v>
      </c>
      <c r="K72">
        <v>3883223.0106759998</v>
      </c>
      <c r="L72">
        <v>3883223.0110760001</v>
      </c>
      <c r="M72">
        <v>3883223.0110760001</v>
      </c>
      <c r="N72">
        <v>3883223.0090780002</v>
      </c>
      <c r="O72">
        <v>3883223.0102769998</v>
      </c>
      <c r="P72">
        <v>3883223.010278</v>
      </c>
      <c r="Q72">
        <v>3883223.0110760001</v>
      </c>
      <c r="R72">
        <v>3883223.0106759998</v>
      </c>
      <c r="S72">
        <v>3883223.0110760001</v>
      </c>
      <c r="T72">
        <v>3883223.0110760001</v>
      </c>
      <c r="U72">
        <v>3883223.009079</v>
      </c>
      <c r="V72">
        <v>3883223.0110760001</v>
      </c>
      <c r="W72">
        <v>3883223.0102769998</v>
      </c>
      <c r="X72">
        <v>3883223.0110760001</v>
      </c>
      <c r="Y72">
        <v>3883223.0110760001</v>
      </c>
      <c r="Z72">
        <v>3883223.0118749999</v>
      </c>
      <c r="AA72">
        <v>3883223.0090780002</v>
      </c>
      <c r="AB72">
        <v>3883223.0086790002</v>
      </c>
      <c r="AC72">
        <v>3883223.009877</v>
      </c>
      <c r="AD72">
        <v>3883223.009478</v>
      </c>
      <c r="AE72">
        <v>3883223.0106759998</v>
      </c>
      <c r="AF72">
        <v>3883223.0118749999</v>
      </c>
      <c r="AG72">
        <v>3883223.0102769998</v>
      </c>
      <c r="AH72">
        <v>3883223.009877</v>
      </c>
      <c r="AK72" s="3" t="str">
        <f ca="1">INDIRECT(ADDRESS(72,2))</f>
        <v>Urban Bus</v>
      </c>
      <c r="AL72" s="3">
        <f ca="1">INDIRECT(ADDRESS(72,3))</f>
        <v>3883223.0108770002</v>
      </c>
      <c r="AM72" s="4">
        <f ca="1">IFERROR(INDIRECT(ADDRESS(72,3)) / INDIRECT(ADDRESS(73,3)),0)</f>
        <v>8.0064590781043984E-3</v>
      </c>
      <c r="AN72" s="3">
        <f ca="1">INDIRECT(ADDRESS(72,9))</f>
        <v>3883223.010677</v>
      </c>
      <c r="AO72" s="4">
        <f ca="1">IFERROR(INDIRECT(ADDRESS(72,9)) / INDIRECT(ADDRESS(73,9)),0)</f>
        <v>8.632568037739239E-3</v>
      </c>
      <c r="AP72" s="4">
        <f ca="1">IFERROR((INDIRECT(ADDRESS(72,9)) - INDIRECT(ADDRESS(72,3)))/ INDIRECT(ADDRESS(72,3)),1)</f>
        <v>-5.1503641525250278E-11</v>
      </c>
      <c r="AQ72" s="3">
        <f ca="1">INDIRECT(ADDRESS(72,14))</f>
        <v>3883223.0090780002</v>
      </c>
      <c r="AR72" s="4">
        <f ca="1">IFERROR(INDIRECT(ADDRESS(72,14)) / INDIRECT(ADDRESS(73,14)),0)</f>
        <v>9.5922584931811897E-3</v>
      </c>
      <c r="AS72" s="4">
        <f ca="1">IFERROR((INDIRECT(ADDRESS(72,14)) - INDIRECT(ADDRESS(72,3)))/ INDIRECT(ADDRESS(72,3)),1)</f>
        <v>-4.6327495393042206E-10</v>
      </c>
      <c r="AT72" s="3">
        <f ca="1">INDIRECT(ADDRESS(72,19))</f>
        <v>3883223.0110760001</v>
      </c>
      <c r="AU72" s="4">
        <f ca="1">IFERROR(INDIRECT(ADDRESS(72,19)) / INDIRECT(ADDRESS(73,19)),0)</f>
        <v>9.7019153491347074E-3</v>
      </c>
      <c r="AV72" s="4">
        <f ca="1">IFERROR((INDIRECT(ADDRESS(72,19)) - INDIRECT(ADDRESS(72,3)))/ INDIRECT(ADDRESS(72,3)),1)</f>
        <v>5.1246061560788975E-11</v>
      </c>
      <c r="AW72" s="3">
        <f ca="1">INDIRECT(ADDRESS(72,24))</f>
        <v>3883223.0110760001</v>
      </c>
      <c r="AX72" s="4">
        <f ca="1">IFERROR(INDIRECT(ADDRESS(72,24)) / INDIRECT(ADDRESS(73,24)),0)</f>
        <v>9.6355099511082377E-3</v>
      </c>
      <c r="AY72" s="4">
        <f ca="1">IFERROR((INDIRECT(ADDRESS(72,24)) - INDIRECT(ADDRESS(72,3)))/ INDIRECT(ADDRESS(72,3)),1)</f>
        <v>5.1246061560788975E-11</v>
      </c>
      <c r="AZ72" s="3">
        <f ca="1">INDIRECT(ADDRESS(72,29))</f>
        <v>3883223.009877</v>
      </c>
      <c r="BA72" s="4">
        <f ca="1">IFERROR(INDIRECT(ADDRESS(72,29)) / INDIRECT(ADDRESS(73,29)),0)</f>
        <v>9.5345783311907746E-3</v>
      </c>
      <c r="BB72" s="4">
        <f ca="1">IFERROR((INDIRECT(ADDRESS(72,29)) - INDIRECT(ADDRESS(72,3)))/ INDIRECT(ADDRESS(72,3)),1)</f>
        <v>-2.5751808771006682E-10</v>
      </c>
      <c r="BC72" s="3">
        <f ca="1">INDIRECT(ADDRESS(72,34))</f>
        <v>3883223.009877</v>
      </c>
      <c r="BD72" s="4">
        <f ca="1">IFERROR(INDIRECT(ADDRESS(72,34)) / INDIRECT(ADDRESS(73,34)),0)</f>
        <v>9.3261835000501645E-3</v>
      </c>
      <c r="BE72" s="4">
        <f ca="1">IFERROR((INDIRECT(ADDRESS(72,34)) - INDIRECT(ADDRESS(72,3)))/ INDIRECT(ADDRESS(72,3)),1)</f>
        <v>-2.5751808771006682E-10</v>
      </c>
    </row>
    <row r="73" spans="1:57" x14ac:dyDescent="0.25">
      <c r="A73" s="1" t="s">
        <v>21</v>
      </c>
      <c r="B73" s="1"/>
      <c r="C73">
        <v>485011285.637694</v>
      </c>
      <c r="D73">
        <v>477710447.23049998</v>
      </c>
      <c r="E73">
        <v>477885105.22183102</v>
      </c>
      <c r="F73">
        <v>474679127.81839103</v>
      </c>
      <c r="G73">
        <v>472509848.58019799</v>
      </c>
      <c r="H73">
        <v>466964724.84656501</v>
      </c>
      <c r="I73">
        <v>449834046.33483398</v>
      </c>
      <c r="J73">
        <v>440275711.52006388</v>
      </c>
      <c r="K73">
        <v>429808009.84548211</v>
      </c>
      <c r="L73">
        <v>419402703.72272003</v>
      </c>
      <c r="M73">
        <v>410271596.92126298</v>
      </c>
      <c r="N73">
        <v>404828853.584216</v>
      </c>
      <c r="O73">
        <v>401735503.733172</v>
      </c>
      <c r="P73">
        <v>400819309.26432103</v>
      </c>
      <c r="Q73">
        <v>400976944.48104489</v>
      </c>
      <c r="R73">
        <v>399436417.32986611</v>
      </c>
      <c r="S73">
        <v>400253235.71003288</v>
      </c>
      <c r="T73">
        <v>400459132.56473798</v>
      </c>
      <c r="U73">
        <v>400639122.431651</v>
      </c>
      <c r="V73">
        <v>401002552.18839401</v>
      </c>
      <c r="W73">
        <v>401810872.66995603</v>
      </c>
      <c r="X73">
        <v>403011675.64352602</v>
      </c>
      <c r="Y73">
        <v>403943749.18996602</v>
      </c>
      <c r="Z73">
        <v>404751913.85989398</v>
      </c>
      <c r="AA73">
        <v>405494527.37068897</v>
      </c>
      <c r="AB73">
        <v>406303830.78061599</v>
      </c>
      <c r="AC73">
        <v>407277896.82881802</v>
      </c>
      <c r="AD73">
        <v>408511445.94180697</v>
      </c>
      <c r="AE73">
        <v>410053775.45675802</v>
      </c>
      <c r="AF73">
        <v>411921333.93778402</v>
      </c>
      <c r="AG73">
        <v>414079466.65351897</v>
      </c>
      <c r="AH73">
        <v>416378576.49445909</v>
      </c>
    </row>
    <row r="76" spans="1:57" x14ac:dyDescent="0.25">
      <c r="A76" s="1" t="s">
        <v>0</v>
      </c>
      <c r="B76" s="1" t="s">
        <v>138</v>
      </c>
      <c r="C76" s="1"/>
      <c r="D76" s="1" t="s">
        <v>41</v>
      </c>
      <c r="E76" s="1" t="s">
        <v>127</v>
      </c>
      <c r="F76" s="1" t="s">
        <v>44</v>
      </c>
      <c r="G76" s="1" t="s">
        <v>102</v>
      </c>
      <c r="H76" s="1" t="s">
        <v>103</v>
      </c>
      <c r="I76" s="1" t="s">
        <v>46</v>
      </c>
    </row>
    <row r="77" spans="1:57" x14ac:dyDescent="0.25">
      <c r="A77" s="5" t="s">
        <v>2</v>
      </c>
      <c r="B77" s="5" t="s">
        <v>139</v>
      </c>
      <c r="C77" s="1">
        <v>2019</v>
      </c>
      <c r="D77">
        <v>2069143.385279</v>
      </c>
      <c r="E77">
        <v>117365328.131923</v>
      </c>
      <c r="F77">
        <v>3894.4953609999998</v>
      </c>
      <c r="H77">
        <v>176342.395766</v>
      </c>
    </row>
    <row r="78" spans="1:57" x14ac:dyDescent="0.25">
      <c r="A78" s="5"/>
      <c r="B78" s="5"/>
      <c r="C78" s="1">
        <v>2050</v>
      </c>
      <c r="D78">
        <v>3215.8345199999999</v>
      </c>
      <c r="E78">
        <v>73543.856381999998</v>
      </c>
      <c r="F78">
        <v>6785303.1951099997</v>
      </c>
      <c r="H78">
        <v>14750183.121872</v>
      </c>
    </row>
    <row r="79" spans="1:57" x14ac:dyDescent="0.25">
      <c r="A79" s="5"/>
      <c r="B79" s="5" t="s">
        <v>140</v>
      </c>
      <c r="C79" s="1">
        <v>2019</v>
      </c>
      <c r="D79">
        <v>126651836.287541</v>
      </c>
      <c r="E79">
        <v>121110502.54929601</v>
      </c>
      <c r="F79">
        <v>0</v>
      </c>
      <c r="G79">
        <v>0</v>
      </c>
      <c r="H79">
        <v>0</v>
      </c>
      <c r="I79">
        <v>0</v>
      </c>
    </row>
    <row r="80" spans="1:57" x14ac:dyDescent="0.25">
      <c r="A80" s="5"/>
      <c r="B80" s="5"/>
      <c r="C80" s="1">
        <v>2050</v>
      </c>
      <c r="D80">
        <v>0</v>
      </c>
      <c r="E80">
        <v>0</v>
      </c>
      <c r="F80">
        <v>4867863.9277109997</v>
      </c>
      <c r="G80">
        <v>53338421.199700996</v>
      </c>
      <c r="H80">
        <v>10581971.399281001</v>
      </c>
      <c r="I80">
        <v>25641701.055031002</v>
      </c>
    </row>
    <row r="81" spans="1:9" x14ac:dyDescent="0.25">
      <c r="A81" s="5"/>
      <c r="B81" s="5" t="s">
        <v>141</v>
      </c>
      <c r="C81" s="1">
        <v>2019</v>
      </c>
      <c r="D81">
        <v>7516482.4197129998</v>
      </c>
      <c r="E81">
        <v>105935702.57189099</v>
      </c>
      <c r="F81">
        <v>6457.0219809999999</v>
      </c>
      <c r="H81">
        <v>292373.368066</v>
      </c>
    </row>
    <row r="82" spans="1:9" x14ac:dyDescent="0.25">
      <c r="A82" s="5"/>
      <c r="B82" s="5"/>
      <c r="C82" s="1">
        <v>2050</v>
      </c>
      <c r="D82">
        <v>15472.296872000001</v>
      </c>
      <c r="E82">
        <v>86508.859903000004</v>
      </c>
      <c r="F82">
        <v>7889441.625395</v>
      </c>
      <c r="H82">
        <v>17150406.600512002</v>
      </c>
    </row>
    <row r="83" spans="1:9" x14ac:dyDescent="0.25">
      <c r="A83" s="5"/>
      <c r="B83" s="5" t="s">
        <v>142</v>
      </c>
      <c r="C83" s="1">
        <v>2019</v>
      </c>
      <c r="D83">
        <v>3135026.555867</v>
      </c>
      <c r="E83">
        <v>514535.80767499999</v>
      </c>
      <c r="F83">
        <v>1158.64805</v>
      </c>
      <c r="H83">
        <v>52463.478321000002</v>
      </c>
      <c r="I83">
        <v>180038.520964</v>
      </c>
    </row>
    <row r="84" spans="1:9" x14ac:dyDescent="0.25">
      <c r="A84" s="5"/>
      <c r="B84" s="5"/>
      <c r="C84" s="1">
        <v>2050</v>
      </c>
      <c r="D84">
        <v>2508021.3594260002</v>
      </c>
      <c r="E84">
        <v>411628.665874</v>
      </c>
      <c r="F84">
        <v>16895.015788000001</v>
      </c>
      <c r="H84">
        <v>36727.109983000002</v>
      </c>
      <c r="I84">
        <v>180038.520964</v>
      </c>
    </row>
    <row r="85" spans="1:9" x14ac:dyDescent="0.25">
      <c r="A85" s="5" t="s">
        <v>3</v>
      </c>
      <c r="B85" s="5" t="s">
        <v>139</v>
      </c>
      <c r="C85" s="1">
        <v>2019</v>
      </c>
      <c r="D85">
        <v>2069143.385279</v>
      </c>
      <c r="E85">
        <v>117365328.131923</v>
      </c>
      <c r="F85">
        <v>3894.4953609999998</v>
      </c>
      <c r="H85">
        <v>176342.395766</v>
      </c>
    </row>
    <row r="86" spans="1:9" x14ac:dyDescent="0.25">
      <c r="A86" s="5"/>
      <c r="B86" s="5"/>
      <c r="C86" s="1">
        <v>2050</v>
      </c>
      <c r="D86">
        <v>4947.3278879999998</v>
      </c>
      <c r="E86">
        <v>110074.939698</v>
      </c>
      <c r="F86">
        <v>10200870.896206999</v>
      </c>
      <c r="H86">
        <v>22076452.948396001</v>
      </c>
    </row>
    <row r="87" spans="1:9" x14ac:dyDescent="0.25">
      <c r="A87" s="5"/>
      <c r="B87" s="5" t="s">
        <v>140</v>
      </c>
      <c r="C87" s="1">
        <v>2019</v>
      </c>
      <c r="D87">
        <v>126651836.287541</v>
      </c>
      <c r="E87">
        <v>121110502.54929601</v>
      </c>
      <c r="F87">
        <v>0</v>
      </c>
      <c r="G87">
        <v>0</v>
      </c>
      <c r="H87">
        <v>0</v>
      </c>
    </row>
    <row r="88" spans="1:9" x14ac:dyDescent="0.25">
      <c r="A88" s="5"/>
      <c r="B88" s="5"/>
      <c r="C88" s="1">
        <v>2050</v>
      </c>
      <c r="D88">
        <v>40343838.248009004</v>
      </c>
      <c r="E88">
        <v>37104277.778577998</v>
      </c>
      <c r="F88">
        <v>8788067.3653810006</v>
      </c>
      <c r="G88">
        <v>15726176.711763</v>
      </c>
      <c r="H88">
        <v>19018901.197083</v>
      </c>
    </row>
    <row r="89" spans="1:9" x14ac:dyDescent="0.25">
      <c r="A89" s="5"/>
      <c r="B89" s="5" t="s">
        <v>141</v>
      </c>
      <c r="C89" s="1">
        <v>2019</v>
      </c>
      <c r="D89">
        <v>7516482.4197129998</v>
      </c>
      <c r="E89">
        <v>105935702.57189099</v>
      </c>
      <c r="F89">
        <v>6457.0219809999999</v>
      </c>
      <c r="H89">
        <v>292373.368066</v>
      </c>
    </row>
    <row r="90" spans="1:9" x14ac:dyDescent="0.25">
      <c r="A90" s="5"/>
      <c r="B90" s="5"/>
      <c r="C90" s="1">
        <v>2050</v>
      </c>
      <c r="D90">
        <v>23791.017443000001</v>
      </c>
      <c r="E90">
        <v>129569.477184</v>
      </c>
      <c r="F90">
        <v>12063551.097872</v>
      </c>
      <c r="H90">
        <v>26107615.801879</v>
      </c>
    </row>
    <row r="91" spans="1:9" x14ac:dyDescent="0.25">
      <c r="A91" s="5"/>
      <c r="B91" s="5" t="s">
        <v>142</v>
      </c>
      <c r="C91" s="1">
        <v>2019</v>
      </c>
      <c r="D91">
        <v>3135026.555867</v>
      </c>
      <c r="E91">
        <v>514535.80767499999</v>
      </c>
      <c r="F91">
        <v>1158.64805</v>
      </c>
      <c r="H91">
        <v>52463.478321000002</v>
      </c>
      <c r="I91">
        <v>180038.520964</v>
      </c>
    </row>
    <row r="92" spans="1:9" x14ac:dyDescent="0.25">
      <c r="A92" s="5"/>
      <c r="B92" s="5"/>
      <c r="C92" s="1">
        <v>2050</v>
      </c>
      <c r="D92">
        <v>2508021.3594260002</v>
      </c>
      <c r="E92">
        <v>411628.665874</v>
      </c>
      <c r="F92">
        <v>16946.646035999998</v>
      </c>
      <c r="H92">
        <v>36675.479735000001</v>
      </c>
      <c r="I92">
        <v>180038.520964</v>
      </c>
    </row>
    <row r="93" spans="1:9" x14ac:dyDescent="0.25">
      <c r="A93" s="5" t="s">
        <v>4</v>
      </c>
      <c r="B93" s="5" t="s">
        <v>139</v>
      </c>
      <c r="C93" s="1">
        <v>2019</v>
      </c>
      <c r="D93">
        <v>2069143.385279</v>
      </c>
      <c r="E93">
        <v>117365328.131923</v>
      </c>
      <c r="F93">
        <v>3894.4953609999998</v>
      </c>
      <c r="H93">
        <v>176342.395766</v>
      </c>
    </row>
    <row r="94" spans="1:9" x14ac:dyDescent="0.25">
      <c r="A94" s="5"/>
      <c r="B94" s="5"/>
      <c r="C94" s="1">
        <v>2050</v>
      </c>
      <c r="D94">
        <v>4085240.5953939999</v>
      </c>
      <c r="E94">
        <v>91979054.895535007</v>
      </c>
      <c r="F94">
        <v>103564.19446499999</v>
      </c>
      <c r="H94">
        <v>732903.44819699996</v>
      </c>
    </row>
    <row r="95" spans="1:9" x14ac:dyDescent="0.25">
      <c r="A95" s="5"/>
      <c r="B95" s="5" t="s">
        <v>140</v>
      </c>
      <c r="C95" s="1">
        <v>2019</v>
      </c>
      <c r="D95">
        <v>126651836.287541</v>
      </c>
      <c r="E95">
        <v>121110502.54929601</v>
      </c>
    </row>
    <row r="96" spans="1:9" x14ac:dyDescent="0.25">
      <c r="A96" s="5"/>
      <c r="B96" s="5"/>
      <c r="C96" s="1">
        <v>2050</v>
      </c>
      <c r="D96">
        <v>104064771.09208401</v>
      </c>
      <c r="E96">
        <v>99654134.282232001</v>
      </c>
    </row>
    <row r="97" spans="1:9" x14ac:dyDescent="0.25">
      <c r="A97" s="5"/>
      <c r="B97" s="5" t="s">
        <v>141</v>
      </c>
      <c r="C97" s="1">
        <v>2019</v>
      </c>
      <c r="D97">
        <v>7516482.4197129998</v>
      </c>
      <c r="E97">
        <v>105935702.57189099</v>
      </c>
      <c r="F97">
        <v>6457.0219809999999</v>
      </c>
      <c r="H97">
        <v>292373.368066</v>
      </c>
    </row>
    <row r="98" spans="1:9" x14ac:dyDescent="0.25">
      <c r="A98" s="5"/>
      <c r="B98" s="5"/>
      <c r="C98" s="1">
        <v>2050</v>
      </c>
      <c r="D98">
        <v>17409503.028730001</v>
      </c>
      <c r="E98">
        <v>93023508.157974005</v>
      </c>
      <c r="F98">
        <v>178619.40057599999</v>
      </c>
      <c r="H98">
        <v>1264054.3893949999</v>
      </c>
    </row>
    <row r="99" spans="1:9" x14ac:dyDescent="0.25">
      <c r="A99" s="5"/>
      <c r="B99" s="5" t="s">
        <v>142</v>
      </c>
      <c r="C99" s="1">
        <v>2019</v>
      </c>
      <c r="D99">
        <v>3135026.555867</v>
      </c>
      <c r="E99">
        <v>514535.80767499999</v>
      </c>
      <c r="F99">
        <v>1158.64805</v>
      </c>
      <c r="H99">
        <v>52463.478321000002</v>
      </c>
      <c r="I99">
        <v>180038.520964</v>
      </c>
    </row>
    <row r="100" spans="1:9" x14ac:dyDescent="0.25">
      <c r="A100" s="5"/>
      <c r="B100" s="5"/>
      <c r="C100" s="1">
        <v>2050</v>
      </c>
      <c r="D100">
        <v>3135026.555867</v>
      </c>
      <c r="E100">
        <v>514535.80767499999</v>
      </c>
      <c r="F100">
        <v>6639.0281420000001</v>
      </c>
      <c r="H100">
        <v>46983.097228999999</v>
      </c>
      <c r="I100">
        <v>180038.520964</v>
      </c>
    </row>
    <row r="101" spans="1:9" x14ac:dyDescent="0.25">
      <c r="A101" s="5" t="s">
        <v>5</v>
      </c>
      <c r="B101" s="5" t="s">
        <v>139</v>
      </c>
      <c r="C101" s="1">
        <v>2019</v>
      </c>
      <c r="D101">
        <v>2069143.385279</v>
      </c>
      <c r="E101">
        <v>117365328.131923</v>
      </c>
      <c r="F101">
        <v>3894.4953609999998</v>
      </c>
      <c r="H101">
        <v>176342.395766</v>
      </c>
    </row>
    <row r="102" spans="1:9" x14ac:dyDescent="0.25">
      <c r="A102" s="5"/>
      <c r="B102" s="5"/>
      <c r="C102" s="1">
        <v>2050</v>
      </c>
      <c r="D102">
        <v>3215.8345199999999</v>
      </c>
      <c r="E102">
        <v>73543.856381999998</v>
      </c>
      <c r="F102">
        <v>4519828.9180910001</v>
      </c>
      <c r="H102">
        <v>17015657.077985998</v>
      </c>
    </row>
    <row r="103" spans="1:9" x14ac:dyDescent="0.25">
      <c r="A103" s="5"/>
      <c r="B103" s="5" t="s">
        <v>140</v>
      </c>
      <c r="C103" s="1">
        <v>2019</v>
      </c>
      <c r="D103">
        <v>126651836.287541</v>
      </c>
      <c r="E103">
        <v>121110502.54929601</v>
      </c>
      <c r="F103">
        <v>0</v>
      </c>
      <c r="G103">
        <v>0</v>
      </c>
      <c r="H103">
        <v>0</v>
      </c>
    </row>
    <row r="104" spans="1:9" x14ac:dyDescent="0.25">
      <c r="A104" s="5"/>
      <c r="B104" s="5"/>
      <c r="C104" s="1">
        <v>2050</v>
      </c>
      <c r="D104">
        <v>0</v>
      </c>
      <c r="E104">
        <v>0</v>
      </c>
      <c r="F104">
        <v>13984657.327281</v>
      </c>
      <c r="G104">
        <v>13367250.44633</v>
      </c>
      <c r="H104">
        <v>52647597.452570997</v>
      </c>
    </row>
    <row r="105" spans="1:9" x14ac:dyDescent="0.25">
      <c r="A105" s="5"/>
      <c r="B105" s="5" t="s">
        <v>141</v>
      </c>
      <c r="C105" s="1">
        <v>2019</v>
      </c>
      <c r="D105">
        <v>7516482.4197129998</v>
      </c>
      <c r="E105">
        <v>105935702.57189099</v>
      </c>
      <c r="F105">
        <v>6457.0219809999999</v>
      </c>
      <c r="H105">
        <v>292373.368066</v>
      </c>
    </row>
    <row r="106" spans="1:9" x14ac:dyDescent="0.25">
      <c r="A106" s="5"/>
      <c r="B106" s="5"/>
      <c r="C106" s="1">
        <v>2050</v>
      </c>
      <c r="D106">
        <v>15472.296872000001</v>
      </c>
      <c r="E106">
        <v>86508.859903000004</v>
      </c>
      <c r="F106">
        <v>5255318.0573789999</v>
      </c>
      <c r="H106">
        <v>19784529.795405</v>
      </c>
    </row>
    <row r="107" spans="1:9" x14ac:dyDescent="0.25">
      <c r="A107" s="5"/>
      <c r="B107" s="5" t="s">
        <v>142</v>
      </c>
      <c r="C107" s="1">
        <v>2019</v>
      </c>
      <c r="D107">
        <v>3135026.555867</v>
      </c>
      <c r="E107">
        <v>514535.80767499999</v>
      </c>
      <c r="F107">
        <v>1158.64805</v>
      </c>
      <c r="H107">
        <v>52463.478321000002</v>
      </c>
      <c r="I107">
        <v>180038.520964</v>
      </c>
    </row>
    <row r="108" spans="1:9" x14ac:dyDescent="0.25">
      <c r="A108" s="5"/>
      <c r="B108" s="5"/>
      <c r="C108" s="1">
        <v>2050</v>
      </c>
      <c r="D108">
        <v>2508021.3594260002</v>
      </c>
      <c r="E108">
        <v>411628.665874</v>
      </c>
      <c r="F108">
        <v>11254.114772999999</v>
      </c>
      <c r="H108">
        <v>42368.010198999997</v>
      </c>
      <c r="I108">
        <v>180038.520964</v>
      </c>
    </row>
    <row r="109" spans="1:9" x14ac:dyDescent="0.25">
      <c r="A109" s="5" t="s">
        <v>6</v>
      </c>
      <c r="B109" s="5" t="s">
        <v>139</v>
      </c>
      <c r="C109" s="1">
        <v>2019</v>
      </c>
      <c r="D109">
        <v>2069143.385279</v>
      </c>
      <c r="E109">
        <v>117365328.131923</v>
      </c>
      <c r="F109">
        <v>3894.4953609999998</v>
      </c>
      <c r="H109">
        <v>176342.395766</v>
      </c>
    </row>
    <row r="110" spans="1:9" x14ac:dyDescent="0.25">
      <c r="A110" s="5"/>
      <c r="B110" s="5"/>
      <c r="C110" s="1">
        <v>2050</v>
      </c>
      <c r="D110">
        <v>3215.8345199999999</v>
      </c>
      <c r="E110">
        <v>73543.856381999998</v>
      </c>
      <c r="F110">
        <v>3352845.7333220001</v>
      </c>
      <c r="H110">
        <v>18182640.262756001</v>
      </c>
    </row>
    <row r="111" spans="1:9" x14ac:dyDescent="0.25">
      <c r="A111" s="5"/>
      <c r="B111" s="5" t="s">
        <v>140</v>
      </c>
      <c r="C111" s="1">
        <v>2019</v>
      </c>
      <c r="D111">
        <v>126651836.287541</v>
      </c>
      <c r="E111">
        <v>121110502.54929601</v>
      </c>
      <c r="F111">
        <v>0</v>
      </c>
      <c r="G111">
        <v>0</v>
      </c>
      <c r="H111">
        <v>0</v>
      </c>
      <c r="I111">
        <v>0</v>
      </c>
    </row>
    <row r="112" spans="1:9" x14ac:dyDescent="0.25">
      <c r="A112" s="5"/>
      <c r="B112" s="5"/>
      <c r="C112" s="1">
        <v>2050</v>
      </c>
      <c r="D112">
        <v>0</v>
      </c>
      <c r="E112">
        <v>0</v>
      </c>
      <c r="F112">
        <v>2405374.7240329999</v>
      </c>
      <c r="G112">
        <v>53338421.199700996</v>
      </c>
      <c r="H112">
        <v>13044460.372738</v>
      </c>
      <c r="I112">
        <v>25641701.055031002</v>
      </c>
    </row>
    <row r="113" spans="1:9" x14ac:dyDescent="0.25">
      <c r="A113" s="5"/>
      <c r="B113" s="5" t="s">
        <v>141</v>
      </c>
      <c r="C113" s="1">
        <v>2019</v>
      </c>
      <c r="D113">
        <v>7516482.4197129998</v>
      </c>
      <c r="E113">
        <v>105935702.57189099</v>
      </c>
      <c r="F113">
        <v>6457.0219809999999</v>
      </c>
      <c r="H113">
        <v>292373.368066</v>
      </c>
    </row>
    <row r="114" spans="1:9" x14ac:dyDescent="0.25">
      <c r="A114" s="5"/>
      <c r="B114" s="5"/>
      <c r="C114" s="1">
        <v>2050</v>
      </c>
      <c r="D114">
        <v>15472.296872000001</v>
      </c>
      <c r="E114">
        <v>86508.859903000004</v>
      </c>
      <c r="F114">
        <v>3898437.5393960001</v>
      </c>
      <c r="H114">
        <v>21141410.313389</v>
      </c>
    </row>
    <row r="115" spans="1:9" x14ac:dyDescent="0.25">
      <c r="A115" s="5"/>
      <c r="B115" s="5" t="s">
        <v>142</v>
      </c>
      <c r="C115" s="1">
        <v>2019</v>
      </c>
      <c r="D115">
        <v>3135026.555867</v>
      </c>
      <c r="E115">
        <v>514535.80767499999</v>
      </c>
      <c r="F115">
        <v>1158.64805</v>
      </c>
      <c r="H115">
        <v>52463.478321000002</v>
      </c>
      <c r="I115">
        <v>180038.520964</v>
      </c>
    </row>
    <row r="116" spans="1:9" x14ac:dyDescent="0.25">
      <c r="A116" s="5"/>
      <c r="B116" s="5"/>
      <c r="C116" s="1">
        <v>2050</v>
      </c>
      <c r="D116">
        <v>2508021.3594260002</v>
      </c>
      <c r="E116">
        <v>411628.665874</v>
      </c>
      <c r="F116">
        <v>8348.3935750000001</v>
      </c>
      <c r="H116">
        <v>45273.731397000003</v>
      </c>
      <c r="I116">
        <v>180038.520964</v>
      </c>
    </row>
  </sheetData>
  <mergeCells count="35">
    <mergeCell ref="B107:B108"/>
    <mergeCell ref="B109:B110"/>
    <mergeCell ref="B111:B112"/>
    <mergeCell ref="B113:B114"/>
    <mergeCell ref="B115:B116"/>
    <mergeCell ref="B97:B98"/>
    <mergeCell ref="B99:B100"/>
    <mergeCell ref="B101:B102"/>
    <mergeCell ref="B103:B104"/>
    <mergeCell ref="B105:B106"/>
    <mergeCell ref="B87:B88"/>
    <mergeCell ref="B89:B90"/>
    <mergeCell ref="B91:B92"/>
    <mergeCell ref="B93:B94"/>
    <mergeCell ref="B95:B96"/>
    <mergeCell ref="B77:B78"/>
    <mergeCell ref="B79:B80"/>
    <mergeCell ref="B81:B82"/>
    <mergeCell ref="B83:B84"/>
    <mergeCell ref="B85:B86"/>
    <mergeCell ref="A77:A84"/>
    <mergeCell ref="A85:A92"/>
    <mergeCell ref="A93:A100"/>
    <mergeCell ref="A101:A108"/>
    <mergeCell ref="A109:A116"/>
    <mergeCell ref="A49:A52"/>
    <mergeCell ref="A54:A57"/>
    <mergeCell ref="A59:A62"/>
    <mergeCell ref="A64:A67"/>
    <mergeCell ref="A69:A72"/>
    <mergeCell ref="A12:A17"/>
    <mergeCell ref="A19:A24"/>
    <mergeCell ref="A26:A31"/>
    <mergeCell ref="A33:A38"/>
    <mergeCell ref="A40:A4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E157"/>
  <sheetViews>
    <sheetView workbookViewId="0"/>
  </sheetViews>
  <sheetFormatPr defaultRowHeight="15" x14ac:dyDescent="0.25"/>
  <cols>
    <col min="36" max="55" width="20.7109375" customWidth="1"/>
  </cols>
  <sheetData>
    <row r="1" spans="1:57" x14ac:dyDescent="0.25">
      <c r="A1" t="s">
        <v>11</v>
      </c>
      <c r="B1" t="s">
        <v>18</v>
      </c>
    </row>
    <row r="3" spans="1:57" x14ac:dyDescent="0.25">
      <c r="A3" s="1" t="s">
        <v>0</v>
      </c>
      <c r="B3" s="1">
        <v>2019</v>
      </c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  <c r="I3" s="1">
        <v>2026</v>
      </c>
      <c r="J3" s="1">
        <v>2027</v>
      </c>
      <c r="K3" s="1">
        <v>2028</v>
      </c>
      <c r="L3" s="1">
        <v>2029</v>
      </c>
      <c r="M3" s="1">
        <v>2030</v>
      </c>
      <c r="N3" s="1">
        <v>2031</v>
      </c>
      <c r="O3" s="1">
        <v>2032</v>
      </c>
      <c r="P3" s="1">
        <v>2033</v>
      </c>
      <c r="Q3" s="1">
        <v>2034</v>
      </c>
      <c r="R3" s="1">
        <v>2035</v>
      </c>
      <c r="S3" s="1">
        <v>2036</v>
      </c>
      <c r="T3" s="1">
        <v>2037</v>
      </c>
      <c r="U3" s="1">
        <v>2038</v>
      </c>
      <c r="V3" s="1">
        <v>2039</v>
      </c>
      <c r="W3" s="1">
        <v>2040</v>
      </c>
      <c r="X3" s="1">
        <v>2041</v>
      </c>
      <c r="Y3" s="1">
        <v>2042</v>
      </c>
      <c r="Z3" s="1">
        <v>2043</v>
      </c>
      <c r="AA3" s="1">
        <v>2044</v>
      </c>
      <c r="AB3" s="1">
        <v>2045</v>
      </c>
      <c r="AC3" s="1">
        <v>2046</v>
      </c>
      <c r="AD3" s="1">
        <v>2047</v>
      </c>
      <c r="AE3" s="1">
        <v>2048</v>
      </c>
      <c r="AF3" s="1">
        <v>2049</v>
      </c>
      <c r="AG3" s="1">
        <v>2050</v>
      </c>
      <c r="AK3" s="2">
        <f ca="1">INDIRECT(ADDRESS(3,2))</f>
        <v>2019</v>
      </c>
      <c r="AL3" s="2">
        <f ca="1">INDIRECT(ADDRESS(3,8))</f>
        <v>2025</v>
      </c>
      <c r="AM3" s="2" t="str">
        <f ca="1">CONCATENATE("% change ",INDIRECT(ADDRESS(3,2)),"-",INDIRECT(ADDRESS(3,8)))</f>
        <v>% change 2019-2025</v>
      </c>
      <c r="AN3" s="2">
        <f ca="1">INDIRECT(ADDRESS(3,13))</f>
        <v>2030</v>
      </c>
      <c r="AO3" s="2" t="str">
        <f ca="1">CONCATENATE("% change ",INDIRECT(ADDRESS(3,2)),"-",INDIRECT(ADDRESS(3,13)))</f>
        <v>% change 2019-2030</v>
      </c>
      <c r="AP3" s="2">
        <f ca="1">INDIRECT(ADDRESS(3,18))</f>
        <v>2035</v>
      </c>
      <c r="AQ3" s="2" t="str">
        <f ca="1">CONCATENATE("% change ",INDIRECT(ADDRESS(3,2)),"-",INDIRECT(ADDRESS(3,18)))</f>
        <v>% change 2019-2035</v>
      </c>
      <c r="AR3" s="2">
        <f ca="1">INDIRECT(ADDRESS(3,23))</f>
        <v>2040</v>
      </c>
      <c r="AS3" s="2" t="str">
        <f ca="1">CONCATENATE("% change ",INDIRECT(ADDRESS(3,2)),"-",INDIRECT(ADDRESS(3,23)))</f>
        <v>% change 2019-2040</v>
      </c>
      <c r="AT3" s="2">
        <f ca="1">INDIRECT(ADDRESS(3,28))</f>
        <v>2045</v>
      </c>
      <c r="AU3" s="2" t="str">
        <f ca="1">CONCATENATE("% change ",INDIRECT(ADDRESS(3,2)),"-",INDIRECT(ADDRESS(3,28)))</f>
        <v>% change 2019-2045</v>
      </c>
      <c r="AV3" s="2">
        <f ca="1">INDIRECT(ADDRESS(3,33))</f>
        <v>2050</v>
      </c>
      <c r="AW3" s="2" t="str">
        <f ca="1">CONCATENATE("% change ",INDIRECT(ADDRESS(3,2)),"-",INDIRECT(ADDRESS(3,33)))</f>
        <v>% change 2019-2050</v>
      </c>
    </row>
    <row r="4" spans="1:57" x14ac:dyDescent="0.25">
      <c r="A4" s="1" t="s">
        <v>2</v>
      </c>
      <c r="B4">
        <v>48402588.316151001</v>
      </c>
      <c r="C4">
        <v>47684410.857943997</v>
      </c>
      <c r="D4">
        <v>45972431.488372996</v>
      </c>
      <c r="E4">
        <v>44082285.326485001</v>
      </c>
      <c r="F4">
        <v>42283146.960830003</v>
      </c>
      <c r="G4">
        <v>40114476.184306003</v>
      </c>
      <c r="H4">
        <v>37097488.948347002</v>
      </c>
      <c r="I4">
        <v>34741906.992462002</v>
      </c>
      <c r="J4">
        <v>32315733.241462</v>
      </c>
      <c r="K4">
        <v>29871818.080673002</v>
      </c>
      <c r="L4">
        <v>27511250.169123001</v>
      </c>
      <c r="M4">
        <v>25381585.896701001</v>
      </c>
      <c r="N4">
        <v>23496561.666869</v>
      </c>
      <c r="O4">
        <v>21792690.782763001</v>
      </c>
      <c r="P4">
        <v>20194434.054933</v>
      </c>
      <c r="Q4">
        <v>18510870.683389001</v>
      </c>
      <c r="R4">
        <v>17017222.157217</v>
      </c>
      <c r="S4">
        <v>15974814.610569</v>
      </c>
      <c r="T4">
        <v>14940717.209171999</v>
      </c>
      <c r="U4">
        <v>13948437.461154999</v>
      </c>
      <c r="V4">
        <v>13192193.367798001</v>
      </c>
      <c r="W4">
        <v>12491634.810074</v>
      </c>
      <c r="X4">
        <v>11972629.517793</v>
      </c>
      <c r="Y4">
        <v>11489094.955050001</v>
      </c>
      <c r="Z4">
        <v>11051667.72487</v>
      </c>
      <c r="AA4">
        <v>10662871.660877001</v>
      </c>
      <c r="AB4">
        <v>10318966.786953</v>
      </c>
      <c r="AC4">
        <v>10034558.305865999</v>
      </c>
      <c r="AD4">
        <v>9788014.102062</v>
      </c>
      <c r="AE4">
        <v>9573531.3974399995</v>
      </c>
      <c r="AF4">
        <v>9384204.070923999</v>
      </c>
      <c r="AG4">
        <v>9211854.0132519994</v>
      </c>
      <c r="AJ4" s="3" t="str">
        <f ca="1">INDIRECT(ADDRESS(4,1))</f>
        <v>AltFuels</v>
      </c>
      <c r="AK4" s="3">
        <f ca="1">INDIRECT(ADDRESS(4,2))</f>
        <v>48402588.316151001</v>
      </c>
      <c r="AL4" s="3">
        <f ca="1">INDIRECT(ADDRESS(4,8))</f>
        <v>37097488.948347002</v>
      </c>
      <c r="AM4" s="4">
        <f ca="1">IFERROR((INDIRECT(ADDRESS(4,8)) - INDIRECT(ADDRESS(4,2)))/ INDIRECT(ADDRESS(4,2)),1)</f>
        <v>-0.23356394277848375</v>
      </c>
      <c r="AN4" s="3">
        <f ca="1">INDIRECT(ADDRESS(4,13))</f>
        <v>25381585.896701001</v>
      </c>
      <c r="AO4" s="4">
        <f ca="1">IFERROR((INDIRECT(ADDRESS(4,13)) - INDIRECT(ADDRESS(4,2)))/ INDIRECT(ADDRESS(4,2)),1)</f>
        <v>-0.47561511109868354</v>
      </c>
      <c r="AP4" s="3">
        <f ca="1">INDIRECT(ADDRESS(4,18))</f>
        <v>17017222.157217</v>
      </c>
      <c r="AQ4" s="4">
        <f ca="1">IFERROR((INDIRECT(ADDRESS(4,18)) - INDIRECT(ADDRESS(4,2)))/ INDIRECT(ADDRESS(4,2)),1)</f>
        <v>-0.64842330236421086</v>
      </c>
      <c r="AR4" s="3">
        <f ca="1">INDIRECT(ADDRESS(4,23))</f>
        <v>12491634.810074</v>
      </c>
      <c r="AS4" s="4">
        <f ca="1">IFERROR((INDIRECT(ADDRESS(4,23)) - INDIRECT(ADDRESS(4,2)))/ INDIRECT(ADDRESS(4,2)),1)</f>
        <v>-0.74192217307714126</v>
      </c>
      <c r="AT4" s="3">
        <f ca="1">INDIRECT(ADDRESS(4,28))</f>
        <v>10318966.786953</v>
      </c>
      <c r="AU4" s="4">
        <f ca="1">IFERROR((INDIRECT(ADDRESS(4,28)) - INDIRECT(ADDRESS(4,2)))/ INDIRECT(ADDRESS(4,2)),1)</f>
        <v>-0.78680960779302445</v>
      </c>
      <c r="AV4" s="3">
        <f ca="1">INDIRECT(ADDRESS(4,33))</f>
        <v>9211854.0132519994</v>
      </c>
      <c r="AW4" s="4">
        <f ca="1">IFERROR((INDIRECT(ADDRESS(4,33)) - INDIRECT(ADDRESS(4,2)))/ INDIRECT(ADDRESS(4,2)),1)</f>
        <v>-0.80968261546091369</v>
      </c>
    </row>
    <row r="5" spans="1:57" x14ac:dyDescent="0.25">
      <c r="A5" s="1" t="s">
        <v>3</v>
      </c>
      <c r="B5">
        <v>48402588.316151001</v>
      </c>
      <c r="C5">
        <v>47673078.694449998</v>
      </c>
      <c r="D5">
        <v>46893053.484784</v>
      </c>
      <c r="E5">
        <v>45886949.069118001</v>
      </c>
      <c r="F5">
        <v>43602674.683847003</v>
      </c>
      <c r="G5">
        <v>41086857.254972003</v>
      </c>
      <c r="H5">
        <v>37835409.480659001</v>
      </c>
      <c r="I5">
        <v>35269409.365947001</v>
      </c>
      <c r="J5">
        <v>32701793.975008</v>
      </c>
      <c r="K5">
        <v>30197146.858261</v>
      </c>
      <c r="L5">
        <v>27851941.024245001</v>
      </c>
      <c r="M5">
        <v>25786453.30601</v>
      </c>
      <c r="N5">
        <v>24419177.633435</v>
      </c>
      <c r="O5">
        <v>23208413.131434001</v>
      </c>
      <c r="P5">
        <v>22091644.812778</v>
      </c>
      <c r="Q5">
        <v>20921864.735541001</v>
      </c>
      <c r="R5">
        <v>19910084.698890001</v>
      </c>
      <c r="S5">
        <v>18906178.113274001</v>
      </c>
      <c r="T5">
        <v>17935608.690788001</v>
      </c>
      <c r="U5">
        <v>17021516.821931001</v>
      </c>
      <c r="V5">
        <v>16402321.984959001</v>
      </c>
      <c r="W5">
        <v>15841096.775216</v>
      </c>
      <c r="X5">
        <v>15143778.735377001</v>
      </c>
      <c r="Y5">
        <v>14518247.325797001</v>
      </c>
      <c r="Z5">
        <v>13963925.259981001</v>
      </c>
      <c r="AA5">
        <v>13474439.828187</v>
      </c>
      <c r="AB5">
        <v>13039632.480852</v>
      </c>
      <c r="AC5">
        <v>12674373.229418</v>
      </c>
      <c r="AD5">
        <v>12348467.213671001</v>
      </c>
      <c r="AE5">
        <v>12054289.494976999</v>
      </c>
      <c r="AF5">
        <v>11785560.159313999</v>
      </c>
      <c r="AG5">
        <v>11536511.517495001</v>
      </c>
      <c r="AJ5" s="3" t="str">
        <f ca="1">INDIRECT(ADDRESS(5,1))</f>
        <v>BAP</v>
      </c>
      <c r="AK5" s="3">
        <f ca="1">INDIRECT(ADDRESS(5,2))</f>
        <v>48402588.316151001</v>
      </c>
      <c r="AL5" s="3">
        <f ca="1">INDIRECT(ADDRESS(5,8))</f>
        <v>37835409.480659001</v>
      </c>
      <c r="AM5" s="4">
        <f ca="1">IFERROR((INDIRECT(ADDRESS(5,8)) - INDIRECT(ADDRESS(5,2)))/ INDIRECT(ADDRESS(5,2)),1)</f>
        <v>-0.21831846608016908</v>
      </c>
      <c r="AN5" s="3">
        <f ca="1">INDIRECT(ADDRESS(5,13))</f>
        <v>25786453.30601</v>
      </c>
      <c r="AO5" s="4">
        <f ca="1">IFERROR((INDIRECT(ADDRESS(5,13)) - INDIRECT(ADDRESS(5,2)))/ INDIRECT(ADDRESS(5,2)),1)</f>
        <v>-0.46725052929854244</v>
      </c>
      <c r="AP5" s="3">
        <f ca="1">INDIRECT(ADDRESS(5,18))</f>
        <v>19910084.698890001</v>
      </c>
      <c r="AQ5" s="4">
        <f ca="1">IFERROR((INDIRECT(ADDRESS(5,18)) - INDIRECT(ADDRESS(5,2)))/ INDIRECT(ADDRESS(5,2)),1)</f>
        <v>-0.58865661131914315</v>
      </c>
      <c r="AR5" s="3">
        <f ca="1">INDIRECT(ADDRESS(5,23))</f>
        <v>15841096.775216</v>
      </c>
      <c r="AS5" s="4">
        <f ca="1">IFERROR((INDIRECT(ADDRESS(5,23)) - INDIRECT(ADDRESS(5,2)))/ INDIRECT(ADDRESS(5,2)),1)</f>
        <v>-0.67272211412028693</v>
      </c>
      <c r="AT5" s="3">
        <f ca="1">INDIRECT(ADDRESS(5,28))</f>
        <v>13039632.480852</v>
      </c>
      <c r="AU5" s="4">
        <f ca="1">IFERROR((INDIRECT(ADDRESS(5,28)) - INDIRECT(ADDRESS(5,2)))/ INDIRECT(ADDRESS(5,2)),1)</f>
        <v>-0.73060051260727876</v>
      </c>
      <c r="AV5" s="3">
        <f ca="1">INDIRECT(ADDRESS(5,33))</f>
        <v>11536511.517495001</v>
      </c>
      <c r="AW5" s="4">
        <f ca="1">IFERROR((INDIRECT(ADDRESS(5,33)) - INDIRECT(ADDRESS(5,2)))/ INDIRECT(ADDRESS(5,2)),1)</f>
        <v>-0.76165507013505118</v>
      </c>
    </row>
    <row r="6" spans="1:57" x14ac:dyDescent="0.25">
      <c r="A6" s="1" t="s">
        <v>4</v>
      </c>
      <c r="B6">
        <v>48402588.316151001</v>
      </c>
      <c r="C6">
        <v>47827030.051931001</v>
      </c>
      <c r="D6">
        <v>47830596.298179001</v>
      </c>
      <c r="E6">
        <v>47596559.758052997</v>
      </c>
      <c r="F6">
        <v>47435743.648103997</v>
      </c>
      <c r="G6">
        <v>47038978.330510996</v>
      </c>
      <c r="H6">
        <v>45831386.516795002</v>
      </c>
      <c r="I6">
        <v>45151477.080537997</v>
      </c>
      <c r="J6">
        <v>44409426.765644997</v>
      </c>
      <c r="K6">
        <v>43673122.809097998</v>
      </c>
      <c r="L6">
        <v>43026629.264275998</v>
      </c>
      <c r="M6">
        <v>42639847.966335997</v>
      </c>
      <c r="N6">
        <v>42419399.54569</v>
      </c>
      <c r="O6">
        <v>42354132.220820002</v>
      </c>
      <c r="P6">
        <v>42362989.04665</v>
      </c>
      <c r="Q6">
        <v>42253916.063537002</v>
      </c>
      <c r="R6">
        <v>42310950.936210997</v>
      </c>
      <c r="S6">
        <v>42325667.236492001</v>
      </c>
      <c r="T6">
        <v>42338862.986478999</v>
      </c>
      <c r="U6">
        <v>42365078.718211003</v>
      </c>
      <c r="V6">
        <v>42422641.770437002</v>
      </c>
      <c r="W6">
        <v>42507903.198028997</v>
      </c>
      <c r="X6">
        <v>42574202.925690003</v>
      </c>
      <c r="Y6">
        <v>42632012.453723997</v>
      </c>
      <c r="Z6">
        <v>42685388.788057998</v>
      </c>
      <c r="AA6">
        <v>42743546.740372002</v>
      </c>
      <c r="AB6">
        <v>42813316.007045001</v>
      </c>
      <c r="AC6">
        <v>42901543.419941999</v>
      </c>
      <c r="AD6">
        <v>43011426.754516996</v>
      </c>
      <c r="AE6">
        <v>43144103.409061</v>
      </c>
      <c r="AF6">
        <v>43297141.727076001</v>
      </c>
      <c r="AG6">
        <v>43460056.976441003</v>
      </c>
      <c r="AJ6" s="3" t="str">
        <f ca="1">INDIRECT(ADDRESS(6,1))</f>
        <v>BAU</v>
      </c>
      <c r="AK6" s="3">
        <f ca="1">INDIRECT(ADDRESS(6,2))</f>
        <v>48402588.316151001</v>
      </c>
      <c r="AL6" s="3">
        <f ca="1">INDIRECT(ADDRESS(6,8))</f>
        <v>45831386.516795002</v>
      </c>
      <c r="AM6" s="4">
        <f ca="1">IFERROR((INDIRECT(ADDRESS(6,8)) - INDIRECT(ADDRESS(6,2)))/ INDIRECT(ADDRESS(6,2)),1)</f>
        <v>-5.3121163326260358E-2</v>
      </c>
      <c r="AN6" s="3">
        <f ca="1">INDIRECT(ADDRESS(6,13))</f>
        <v>42639847.966335997</v>
      </c>
      <c r="AO6" s="4">
        <f ca="1">IFERROR((INDIRECT(ADDRESS(6,13)) - INDIRECT(ADDRESS(6,2)))/ INDIRECT(ADDRESS(6,2)),1)</f>
        <v>-0.11905851629616446</v>
      </c>
      <c r="AP6" s="3">
        <f ca="1">INDIRECT(ADDRESS(6,18))</f>
        <v>42310950.936210997</v>
      </c>
      <c r="AQ6" s="4">
        <f ca="1">IFERROR((INDIRECT(ADDRESS(6,18)) - INDIRECT(ADDRESS(6,2)))/ INDIRECT(ADDRESS(6,2)),1)</f>
        <v>-0.12585354609863586</v>
      </c>
      <c r="AR6" s="3">
        <f ca="1">INDIRECT(ADDRESS(6,23))</f>
        <v>42507903.198028997</v>
      </c>
      <c r="AS6" s="4">
        <f ca="1">IFERROR((INDIRECT(ADDRESS(6,23)) - INDIRECT(ADDRESS(6,2)))/ INDIRECT(ADDRESS(6,2)),1)</f>
        <v>-0.12178450209355979</v>
      </c>
      <c r="AT6" s="3">
        <f ca="1">INDIRECT(ADDRESS(6,28))</f>
        <v>42813316.007045001</v>
      </c>
      <c r="AU6" s="4">
        <f ca="1">IFERROR((INDIRECT(ADDRESS(6,28)) - INDIRECT(ADDRESS(6,2)))/ INDIRECT(ADDRESS(6,2)),1)</f>
        <v>-0.11547465752448136</v>
      </c>
      <c r="AV6" s="3">
        <f ca="1">INDIRECT(ADDRESS(6,33))</f>
        <v>43460056.976441003</v>
      </c>
      <c r="AW6" s="4">
        <f ca="1">IFERROR((INDIRECT(ADDRESS(6,33)) - INDIRECT(ADDRESS(6,2)))/ INDIRECT(ADDRESS(6,2)),1)</f>
        <v>-0.10211295535327335</v>
      </c>
    </row>
    <row r="7" spans="1:57" x14ac:dyDescent="0.25">
      <c r="A7" s="1" t="s">
        <v>5</v>
      </c>
      <c r="B7">
        <v>48402588.316151001</v>
      </c>
      <c r="C7">
        <v>47680154.966900997</v>
      </c>
      <c r="D7">
        <v>45949683.106274001</v>
      </c>
      <c r="E7">
        <v>44051196.815537997</v>
      </c>
      <c r="F7">
        <v>42250293.352484003</v>
      </c>
      <c r="G7">
        <v>40086207.101287</v>
      </c>
      <c r="H7">
        <v>36743989.899852999</v>
      </c>
      <c r="I7">
        <v>34328560.39164</v>
      </c>
      <c r="J7">
        <v>31846603.801075999</v>
      </c>
      <c r="K7">
        <v>29350864.836417001</v>
      </c>
      <c r="L7">
        <v>26945225.144010998</v>
      </c>
      <c r="M7">
        <v>24782153.638941001</v>
      </c>
      <c r="N7">
        <v>22869866.767287999</v>
      </c>
      <c r="O7">
        <v>21142884.635492001</v>
      </c>
      <c r="P7">
        <v>19525756.20891</v>
      </c>
      <c r="Q7">
        <v>17827414.401404001</v>
      </c>
      <c r="R7">
        <v>16324907.285944</v>
      </c>
      <c r="S7">
        <v>15318667.787156001</v>
      </c>
      <c r="T7">
        <v>14320718.699232999</v>
      </c>
      <c r="U7">
        <v>13364871.706567001</v>
      </c>
      <c r="V7">
        <v>12645696.341058001</v>
      </c>
      <c r="W7">
        <v>11983640.857341001</v>
      </c>
      <c r="X7">
        <v>11505726.857825</v>
      </c>
      <c r="Y7">
        <v>11062977.188049</v>
      </c>
      <c r="Z7">
        <v>10665941.333456</v>
      </c>
      <c r="AA7">
        <v>10317248.519347001</v>
      </c>
      <c r="AB7">
        <v>10012531.393316999</v>
      </c>
      <c r="AC7">
        <v>9767364.004776001</v>
      </c>
      <c r="AD7">
        <v>9560773.4215350002</v>
      </c>
      <c r="AE7">
        <v>9386946.0078810006</v>
      </c>
      <c r="AF7">
        <v>9239131.9881800003</v>
      </c>
      <c r="AG7">
        <v>9108570.1662249994</v>
      </c>
      <c r="AJ7" s="3" t="str">
        <f ca="1">INDIRECT(ADDRESS(7,1))</f>
        <v>Elec</v>
      </c>
      <c r="AK7" s="3">
        <f ca="1">INDIRECT(ADDRESS(7,2))</f>
        <v>48402588.316151001</v>
      </c>
      <c r="AL7" s="3">
        <f ca="1">INDIRECT(ADDRESS(7,8))</f>
        <v>36743989.899852999</v>
      </c>
      <c r="AM7" s="4">
        <f ca="1">IFERROR((INDIRECT(ADDRESS(7,8)) - INDIRECT(ADDRESS(7,2)))/ INDIRECT(ADDRESS(7,2)),1)</f>
        <v>-0.24086725156406058</v>
      </c>
      <c r="AN7" s="3">
        <f ca="1">INDIRECT(ADDRESS(7,13))</f>
        <v>24782153.638941001</v>
      </c>
      <c r="AO7" s="4">
        <f ca="1">IFERROR((INDIRECT(ADDRESS(7,13)) - INDIRECT(ADDRESS(7,2)))/ INDIRECT(ADDRESS(7,2)),1)</f>
        <v>-0.48799941281917603</v>
      </c>
      <c r="AP7" s="3">
        <f ca="1">INDIRECT(ADDRESS(7,18))</f>
        <v>16324907.285944</v>
      </c>
      <c r="AQ7" s="4">
        <f ca="1">IFERROR((INDIRECT(ADDRESS(7,18)) - INDIRECT(ADDRESS(7,2)))/ INDIRECT(ADDRESS(7,2)),1)</f>
        <v>-0.66272656372600025</v>
      </c>
      <c r="AR7" s="3">
        <f ca="1">INDIRECT(ADDRESS(7,23))</f>
        <v>11983640.857341001</v>
      </c>
      <c r="AS7" s="4">
        <f ca="1">IFERROR((INDIRECT(ADDRESS(7,23)) - INDIRECT(ADDRESS(7,2)))/ INDIRECT(ADDRESS(7,2)),1)</f>
        <v>-0.75241735464501402</v>
      </c>
      <c r="AT7" s="3">
        <f ca="1">INDIRECT(ADDRESS(7,28))</f>
        <v>10012531.393316999</v>
      </c>
      <c r="AU7" s="4">
        <f ca="1">IFERROR((INDIRECT(ADDRESS(7,28)) - INDIRECT(ADDRESS(7,2)))/ INDIRECT(ADDRESS(7,2)),1)</f>
        <v>-0.79314057901370505</v>
      </c>
      <c r="AV7" s="3">
        <f ca="1">INDIRECT(ADDRESS(7,33))</f>
        <v>9108570.1662249994</v>
      </c>
      <c r="AW7" s="4">
        <f ca="1">IFERROR((INDIRECT(ADDRESS(7,33)) - INDIRECT(ADDRESS(7,2)))/ INDIRECT(ADDRESS(7,2)),1)</f>
        <v>-0.8118164651292904</v>
      </c>
    </row>
    <row r="8" spans="1:57" x14ac:dyDescent="0.25">
      <c r="A8" s="1" t="s">
        <v>6</v>
      </c>
      <c r="B8">
        <v>48402588.316151001</v>
      </c>
      <c r="C8">
        <v>47684410.857943997</v>
      </c>
      <c r="D8">
        <v>45972431.488372996</v>
      </c>
      <c r="E8">
        <v>44082285.326485001</v>
      </c>
      <c r="F8">
        <v>42281648.087261997</v>
      </c>
      <c r="G8">
        <v>40111146.361135997</v>
      </c>
      <c r="H8">
        <v>37084099.186255999</v>
      </c>
      <c r="I8">
        <v>34722361.488109</v>
      </c>
      <c r="J8">
        <v>32289870.412544001</v>
      </c>
      <c r="K8">
        <v>29840785.322569001</v>
      </c>
      <c r="L8">
        <v>27478900.398892</v>
      </c>
      <c r="M8">
        <v>25353352.151618</v>
      </c>
      <c r="N8">
        <v>23463790.821299002</v>
      </c>
      <c r="O8">
        <v>21755936.280131001</v>
      </c>
      <c r="P8">
        <v>20154289.829914998</v>
      </c>
      <c r="Q8">
        <v>18467654.514591999</v>
      </c>
      <c r="R8">
        <v>16972566.663963001</v>
      </c>
      <c r="S8">
        <v>15933322.982652999</v>
      </c>
      <c r="T8">
        <v>14903105.914407</v>
      </c>
      <c r="U8">
        <v>13915582.707257001</v>
      </c>
      <c r="V8">
        <v>13165066.799035</v>
      </c>
      <c r="W8">
        <v>12471547.167176999</v>
      </c>
      <c r="X8">
        <v>11961256.588096</v>
      </c>
      <c r="Y8">
        <v>11486877.182390001</v>
      </c>
      <c r="Z8">
        <v>11058878.623224</v>
      </c>
      <c r="AA8">
        <v>10679715.827176999</v>
      </c>
      <c r="AB8">
        <v>10345265.457443999</v>
      </c>
      <c r="AC8">
        <v>10060855.389257001</v>
      </c>
      <c r="AD8">
        <v>9814277.1537309997</v>
      </c>
      <c r="AE8">
        <v>9599738.9332669992</v>
      </c>
      <c r="AF8">
        <v>9410447.1295940001</v>
      </c>
      <c r="AG8">
        <v>9237893.3382529989</v>
      </c>
      <c r="AJ8" s="3" t="str">
        <f ca="1">INDIRECT(ADDRESS(8,1))</f>
        <v>Hybrid</v>
      </c>
      <c r="AK8" s="3">
        <f ca="1">INDIRECT(ADDRESS(8,2))</f>
        <v>48402588.316151001</v>
      </c>
      <c r="AL8" s="3">
        <f ca="1">INDIRECT(ADDRESS(8,8))</f>
        <v>37084099.186255999</v>
      </c>
      <c r="AM8" s="4">
        <f ca="1">IFERROR((INDIRECT(ADDRESS(8,8)) - INDIRECT(ADDRESS(8,2)))/ INDIRECT(ADDRESS(8,2)),1)</f>
        <v>-0.23384057596189009</v>
      </c>
      <c r="AN8" s="3">
        <f ca="1">INDIRECT(ADDRESS(8,13))</f>
        <v>25353352.151618</v>
      </c>
      <c r="AO8" s="4">
        <f ca="1">IFERROR((INDIRECT(ADDRESS(8,13)) - INDIRECT(ADDRESS(8,2)))/ INDIRECT(ADDRESS(8,2)),1)</f>
        <v>-0.47619842174518423</v>
      </c>
      <c r="AP8" s="3">
        <f ca="1">INDIRECT(ADDRESS(8,18))</f>
        <v>16972566.663963001</v>
      </c>
      <c r="AQ8" s="4">
        <f ca="1">IFERROR((INDIRECT(ADDRESS(8,18)) - INDIRECT(ADDRESS(8,2)))/ INDIRECT(ADDRESS(8,2)),1)</f>
        <v>-0.64934588718472341</v>
      </c>
      <c r="AR8" s="3">
        <f ca="1">INDIRECT(ADDRESS(8,23))</f>
        <v>12471547.167176999</v>
      </c>
      <c r="AS8" s="4">
        <f ca="1">IFERROR((INDIRECT(ADDRESS(8,23)) - INDIRECT(ADDRESS(8,2)))/ INDIRECT(ADDRESS(8,2)),1)</f>
        <v>-0.74233718482745914</v>
      </c>
      <c r="AT8" s="3">
        <f ca="1">INDIRECT(ADDRESS(8,28))</f>
        <v>10345265.457443999</v>
      </c>
      <c r="AU8" s="4">
        <f ca="1">IFERROR((INDIRECT(ADDRESS(8,28)) - INDIRECT(ADDRESS(8,2)))/ INDIRECT(ADDRESS(8,2)),1)</f>
        <v>-0.78626627588855647</v>
      </c>
      <c r="AV8" s="3">
        <f ca="1">INDIRECT(ADDRESS(8,33))</f>
        <v>9237893.3382529989</v>
      </c>
      <c r="AW8" s="4">
        <f ca="1">IFERROR((INDIRECT(ADDRESS(8,33)) - INDIRECT(ADDRESS(8,2)))/ INDIRECT(ADDRESS(8,2)),1)</f>
        <v>-0.8091446416478002</v>
      </c>
    </row>
    <row r="11" spans="1:57" x14ac:dyDescent="0.25">
      <c r="A11" s="1" t="s">
        <v>0</v>
      </c>
      <c r="B11" s="1" t="s">
        <v>126</v>
      </c>
      <c r="C11" s="1">
        <v>2019</v>
      </c>
      <c r="D11" s="1">
        <v>2020</v>
      </c>
      <c r="E11" s="1">
        <v>2021</v>
      </c>
      <c r="F11" s="1">
        <v>2022</v>
      </c>
      <c r="G11" s="1">
        <v>2023</v>
      </c>
      <c r="H11" s="1">
        <v>2024</v>
      </c>
      <c r="I11" s="1">
        <v>2025</v>
      </c>
      <c r="J11" s="1">
        <v>2026</v>
      </c>
      <c r="K11" s="1">
        <v>2027</v>
      </c>
      <c r="L11" s="1">
        <v>2028</v>
      </c>
      <c r="M11" s="1">
        <v>2029</v>
      </c>
      <c r="N11" s="1">
        <v>2030</v>
      </c>
      <c r="O11" s="1">
        <v>2031</v>
      </c>
      <c r="P11" s="1">
        <v>2032</v>
      </c>
      <c r="Q11" s="1">
        <v>2033</v>
      </c>
      <c r="R11" s="1">
        <v>2034</v>
      </c>
      <c r="S11" s="1">
        <v>2035</v>
      </c>
      <c r="T11" s="1">
        <v>2036</v>
      </c>
      <c r="U11" s="1">
        <v>2037</v>
      </c>
      <c r="V11" s="1">
        <v>2038</v>
      </c>
      <c r="W11" s="1">
        <v>2039</v>
      </c>
      <c r="X11" s="1">
        <v>2040</v>
      </c>
      <c r="Y11" s="1">
        <v>2041</v>
      </c>
      <c r="Z11" s="1">
        <v>2042</v>
      </c>
      <c r="AA11" s="1">
        <v>2043</v>
      </c>
      <c r="AB11" s="1">
        <v>2044</v>
      </c>
      <c r="AC11" s="1">
        <v>2045</v>
      </c>
      <c r="AD11" s="1">
        <v>2046</v>
      </c>
      <c r="AE11" s="1">
        <v>2047</v>
      </c>
      <c r="AF11" s="1">
        <v>2048</v>
      </c>
      <c r="AG11" s="1">
        <v>2049</v>
      </c>
      <c r="AH11" s="1">
        <v>2050</v>
      </c>
      <c r="AL11" s="2">
        <f ca="1">INDIRECT(ADDRESS(11,3))</f>
        <v>2019</v>
      </c>
      <c r="AM11" s="2" t="str">
        <f ca="1">CONCATENATE(INDIRECT(ADDRESS(11,3))," Share")</f>
        <v>2019 Share</v>
      </c>
      <c r="AN11" s="2">
        <f ca="1">INDIRECT(ADDRESS(11,9))</f>
        <v>2025</v>
      </c>
      <c r="AO11" s="2" t="str">
        <f ca="1">CONCATENATE(INDIRECT(ADDRESS(11,9))," Share")</f>
        <v>2025 Share</v>
      </c>
      <c r="AP11" s="2" t="str">
        <f ca="1">CONCATENATE("% change ",INDIRECT(ADDRESS(11,3)),"-",INDIRECT(ADDRESS(11,9)))</f>
        <v>% change 2019-2025</v>
      </c>
      <c r="AQ11" s="2">
        <f ca="1">INDIRECT(ADDRESS(11,14))</f>
        <v>2030</v>
      </c>
      <c r="AR11" s="2" t="str">
        <f ca="1">CONCATENATE(INDIRECT(ADDRESS(11,14))," Share")</f>
        <v>2030 Share</v>
      </c>
      <c r="AS11" s="2" t="str">
        <f ca="1">CONCATENATE("% change ",INDIRECT(ADDRESS(11,3)),"-",INDIRECT(ADDRESS(11,14)))</f>
        <v>% change 2019-2030</v>
      </c>
      <c r="AT11" s="2">
        <f ca="1">INDIRECT(ADDRESS(11,19))</f>
        <v>2035</v>
      </c>
      <c r="AU11" s="2" t="str">
        <f ca="1">CONCATENATE(INDIRECT(ADDRESS(11,19))," Share")</f>
        <v>2035 Share</v>
      </c>
      <c r="AV11" s="2" t="str">
        <f ca="1">CONCATENATE("% change ",INDIRECT(ADDRESS(11,3)),"-",INDIRECT(ADDRESS(11,19)))</f>
        <v>% change 2019-2035</v>
      </c>
      <c r="AW11" s="2">
        <f ca="1">INDIRECT(ADDRESS(11,24))</f>
        <v>2040</v>
      </c>
      <c r="AX11" s="2" t="str">
        <f ca="1">CONCATENATE(INDIRECT(ADDRESS(11,24))," Share")</f>
        <v>2040 Share</v>
      </c>
      <c r="AY11" s="2" t="str">
        <f ca="1">CONCATENATE("% change ",INDIRECT(ADDRESS(11,3)),"-",INDIRECT(ADDRESS(11,24)))</f>
        <v>% change 2019-2040</v>
      </c>
      <c r="AZ11" s="2">
        <f ca="1">INDIRECT(ADDRESS(11,29))</f>
        <v>2045</v>
      </c>
      <c r="BA11" s="2" t="str">
        <f ca="1">CONCATENATE(INDIRECT(ADDRESS(11,29))," Share")</f>
        <v>2045 Share</v>
      </c>
      <c r="BB11" s="2" t="str">
        <f ca="1">CONCATENATE("% change ",INDIRECT(ADDRESS(11,3)),"-",INDIRECT(ADDRESS(11,29)))</f>
        <v>% change 2019-2045</v>
      </c>
      <c r="BC11" s="2">
        <f ca="1">INDIRECT(ADDRESS(11,34))</f>
        <v>2050</v>
      </c>
      <c r="BD11" s="2" t="str">
        <f ca="1">CONCATENATE(INDIRECT(ADDRESS(11,34))," Share")</f>
        <v>2050 Share</v>
      </c>
      <c r="BE11" s="2" t="str">
        <f ca="1">CONCATENATE("% change ",INDIRECT(ADDRESS(11,3)),"-",INDIRECT(ADDRESS(11,34)))</f>
        <v>% change 2019-2050</v>
      </c>
    </row>
    <row r="12" spans="1:57" x14ac:dyDescent="0.25">
      <c r="A12" s="5" t="s">
        <v>5</v>
      </c>
      <c r="B12" s="1" t="s">
        <v>41</v>
      </c>
      <c r="C12">
        <v>16213787.265347</v>
      </c>
      <c r="D12">
        <v>15531021.755192</v>
      </c>
      <c r="E12">
        <v>14818262.868488999</v>
      </c>
      <c r="F12">
        <v>14088079.797666</v>
      </c>
      <c r="G12">
        <v>13373052.170359001</v>
      </c>
      <c r="H12">
        <v>12528839.470874</v>
      </c>
      <c r="I12">
        <v>11750046.127835</v>
      </c>
      <c r="J12">
        <v>10923793.472943</v>
      </c>
      <c r="K12">
        <v>10137826.048010999</v>
      </c>
      <c r="L12">
        <v>9372473.1312189996</v>
      </c>
      <c r="M12">
        <v>8628279.5278999992</v>
      </c>
      <c r="N12">
        <v>7917861.3619139995</v>
      </c>
      <c r="O12">
        <v>7235564.9679199997</v>
      </c>
      <c r="P12">
        <v>6584523.6254169997</v>
      </c>
      <c r="Q12">
        <v>5951586.3310099998</v>
      </c>
      <c r="R12">
        <v>5324068.8109499998</v>
      </c>
      <c r="S12">
        <v>4732364.2953940006</v>
      </c>
      <c r="T12">
        <v>4407525.6759230001</v>
      </c>
      <c r="U12">
        <v>4088348.9270120002</v>
      </c>
      <c r="V12">
        <v>3778516.763572</v>
      </c>
      <c r="W12">
        <v>3529888.5391799998</v>
      </c>
      <c r="X12">
        <v>3287976.015588</v>
      </c>
      <c r="Y12">
        <v>3185261.4769580001</v>
      </c>
      <c r="Z12">
        <v>3087191.413780001</v>
      </c>
      <c r="AA12">
        <v>2994912.8888920001</v>
      </c>
      <c r="AB12">
        <v>2908653.57063</v>
      </c>
      <c r="AC12">
        <v>2827993.6287750001</v>
      </c>
      <c r="AD12">
        <v>2752520.5133659998</v>
      </c>
      <c r="AE12">
        <v>2681628.98728</v>
      </c>
      <c r="AF12">
        <v>2614682.5263060001</v>
      </c>
      <c r="AG12">
        <v>2550913.961995</v>
      </c>
      <c r="AH12">
        <v>2489451.1468270002</v>
      </c>
      <c r="AK12" s="3" t="str">
        <f ca="1">INDIRECT(ADDRESS(12,2))</f>
        <v>Diesel</v>
      </c>
      <c r="AL12" s="3">
        <f ca="1">INDIRECT(ADDRESS(12,3))</f>
        <v>16213787.265347</v>
      </c>
      <c r="AM12" s="4">
        <f ca="1">IFERROR(INDIRECT(ADDRESS(12,3)) / INDIRECT(ADDRESS(17,3)),0)</f>
        <v>0.33497769085081708</v>
      </c>
      <c r="AN12" s="3">
        <f ca="1">INDIRECT(ADDRESS(12,9))</f>
        <v>11750046.127835</v>
      </c>
      <c r="AO12" s="4">
        <f ca="1">IFERROR(INDIRECT(ADDRESS(12,9)) / INDIRECT(ADDRESS(17,9)),0)</f>
        <v>0.31978144343769288</v>
      </c>
      <c r="AP12" s="4">
        <f ca="1">IFERROR((INDIRECT(ADDRESS(12,9)) - INDIRECT(ADDRESS(12,3)))/ INDIRECT(ADDRESS(12,3)),1)</f>
        <v>-0.27530527349721395</v>
      </c>
      <c r="AQ12" s="3">
        <f ca="1">INDIRECT(ADDRESS(12,14))</f>
        <v>7917861.3619139995</v>
      </c>
      <c r="AR12" s="4">
        <f ca="1">IFERROR(INDIRECT(ADDRESS(12,14)) / INDIRECT(ADDRESS(17,14)),0)</f>
        <v>0.31949851805746243</v>
      </c>
      <c r="AS12" s="4">
        <f ca="1">IFERROR((INDIRECT(ADDRESS(12,14)) - INDIRECT(ADDRESS(12,3)))/ INDIRECT(ADDRESS(12,3)),1)</f>
        <v>-0.51165873633753112</v>
      </c>
      <c r="AT12" s="3">
        <f ca="1">INDIRECT(ADDRESS(12,19))</f>
        <v>4732364.2953940006</v>
      </c>
      <c r="AU12" s="4">
        <f ca="1">IFERROR(INDIRECT(ADDRESS(12,19)) / INDIRECT(ADDRESS(17,19)),0)</f>
        <v>0.28988613610495911</v>
      </c>
      <c r="AV12" s="4">
        <f ca="1">IFERROR((INDIRECT(ADDRESS(12,19)) - INDIRECT(ADDRESS(12,3)))/ INDIRECT(ADDRESS(12,3)),1)</f>
        <v>-0.70812715018728112</v>
      </c>
      <c r="AW12" s="3">
        <f ca="1">INDIRECT(ADDRESS(12,24))</f>
        <v>3287976.015588</v>
      </c>
      <c r="AX12" s="4">
        <f ca="1">IFERROR(INDIRECT(ADDRESS(12,24)) / INDIRECT(ADDRESS(17,24)),0)</f>
        <v>0.2743720422473972</v>
      </c>
      <c r="AY12" s="4">
        <f ca="1">IFERROR((INDIRECT(ADDRESS(12,24)) - INDIRECT(ADDRESS(12,3)))/ INDIRECT(ADDRESS(12,3)),1)</f>
        <v>-0.79721110424242192</v>
      </c>
      <c r="AZ12" s="3">
        <f ca="1">INDIRECT(ADDRESS(12,29))</f>
        <v>2827993.6287750001</v>
      </c>
      <c r="BA12" s="4">
        <f ca="1">IFERROR(INDIRECT(ADDRESS(12,29)) / INDIRECT(ADDRESS(17,29)),0)</f>
        <v>0.28244541941337464</v>
      </c>
      <c r="BB12" s="4">
        <f ca="1">IFERROR((INDIRECT(ADDRESS(12,29)) - INDIRECT(ADDRESS(12,3)))/ INDIRECT(ADDRESS(12,3)),1)</f>
        <v>-0.82558093414614209</v>
      </c>
      <c r="BC12" s="3">
        <f ca="1">INDIRECT(ADDRESS(12,34))</f>
        <v>2489451.1468270002</v>
      </c>
      <c r="BD12" s="4">
        <f ca="1">IFERROR(INDIRECT(ADDRESS(12,34)) / INDIRECT(ADDRESS(17,34)),0)</f>
        <v>0.27330866441123775</v>
      </c>
      <c r="BE12" s="4">
        <f ca="1">IFERROR((INDIRECT(ADDRESS(12,34)) - INDIRECT(ADDRESS(12,3)))/ INDIRECT(ADDRESS(12,3)),1)</f>
        <v>-0.84646084803717681</v>
      </c>
    </row>
    <row r="13" spans="1:57" x14ac:dyDescent="0.25">
      <c r="A13" s="5"/>
      <c r="B13" s="1" t="s">
        <v>127</v>
      </c>
      <c r="C13">
        <v>24286308.891982999</v>
      </c>
      <c r="D13">
        <v>24217943.462678999</v>
      </c>
      <c r="E13">
        <v>23166377.845747001</v>
      </c>
      <c r="F13">
        <v>21963035.646635</v>
      </c>
      <c r="G13">
        <v>20837067.970493</v>
      </c>
      <c r="H13">
        <v>19453875.419456001</v>
      </c>
      <c r="I13">
        <v>17345272.325438</v>
      </c>
      <c r="J13">
        <v>15824554.883357</v>
      </c>
      <c r="K13">
        <v>14200709.704685999</v>
      </c>
      <c r="L13">
        <v>12547848.453841999</v>
      </c>
      <c r="M13">
        <v>10970821.588680999</v>
      </c>
      <c r="N13">
        <v>9602140.3985329997</v>
      </c>
      <c r="O13">
        <v>8439760.0416030008</v>
      </c>
      <c r="P13">
        <v>7435526.5616680002</v>
      </c>
      <c r="Q13">
        <v>6526361.2518730015</v>
      </c>
      <c r="R13">
        <v>5532053.8401549999</v>
      </c>
      <c r="S13">
        <v>4700136.9926760001</v>
      </c>
      <c r="T13">
        <v>4104682.559711</v>
      </c>
      <c r="U13">
        <v>3513065.8818410002</v>
      </c>
      <c r="V13">
        <v>2955846.9927139999</v>
      </c>
      <c r="W13">
        <v>2488008.96942</v>
      </c>
      <c r="X13">
        <v>2071096.377749</v>
      </c>
      <c r="Y13">
        <v>1698902.039568</v>
      </c>
      <c r="Z13">
        <v>1360282.0945969999</v>
      </c>
      <c r="AA13">
        <v>1064795.5231639999</v>
      </c>
      <c r="AB13">
        <v>814465.20001000003</v>
      </c>
      <c r="AC13">
        <v>606112.20495499996</v>
      </c>
      <c r="AD13">
        <v>435967.40049099998</v>
      </c>
      <c r="AE13">
        <v>300082.681706</v>
      </c>
      <c r="AF13">
        <v>193213.485739</v>
      </c>
      <c r="AG13">
        <v>109065.75738900001</v>
      </c>
      <c r="AH13">
        <v>40572.458707999998</v>
      </c>
      <c r="AK13" s="3" t="str">
        <f ca="1">INDIRECT(ADDRESS(13,2))</f>
        <v>Gas</v>
      </c>
      <c r="AL13" s="3">
        <f ca="1">INDIRECT(ADDRESS(13,3))</f>
        <v>24286308.891982999</v>
      </c>
      <c r="AM13" s="4">
        <f ca="1">IFERROR(INDIRECT(ADDRESS(13,3)) / INDIRECT(ADDRESS(17,3)),0)</f>
        <v>0.50175640883814332</v>
      </c>
      <c r="AN13" s="3">
        <f ca="1">INDIRECT(ADDRESS(13,9))</f>
        <v>17345272.325438</v>
      </c>
      <c r="AO13" s="4">
        <f ca="1">IFERROR(INDIRECT(ADDRESS(13,9)) / INDIRECT(ADDRESS(17,9)),0)</f>
        <v>0.47205739966490123</v>
      </c>
      <c r="AP13" s="4">
        <f ca="1">IFERROR((INDIRECT(ADDRESS(13,9)) - INDIRECT(ADDRESS(13,3)))/ INDIRECT(ADDRESS(13,3)),1)</f>
        <v>-0.28580039055816592</v>
      </c>
      <c r="AQ13" s="3">
        <f ca="1">INDIRECT(ADDRESS(13,14))</f>
        <v>9602140.3985329997</v>
      </c>
      <c r="AR13" s="4">
        <f ca="1">IFERROR(INDIRECT(ADDRESS(13,14)) / INDIRECT(ADDRESS(17,14)),0)</f>
        <v>0.38746190256220692</v>
      </c>
      <c r="AS13" s="4">
        <f ca="1">IFERROR((INDIRECT(ADDRESS(13,14)) - INDIRECT(ADDRESS(13,3)))/ INDIRECT(ADDRESS(13,3)),1)</f>
        <v>-0.60462742851373752</v>
      </c>
      <c r="AT13" s="3">
        <f ca="1">INDIRECT(ADDRESS(13,19))</f>
        <v>4700136.9926760001</v>
      </c>
      <c r="AU13" s="4">
        <f ca="1">IFERROR(INDIRECT(ADDRESS(13,19)) / INDIRECT(ADDRESS(17,19)),0)</f>
        <v>0.28791201752936701</v>
      </c>
      <c r="AV13" s="4">
        <f ca="1">IFERROR((INDIRECT(ADDRESS(13,19)) - INDIRECT(ADDRESS(13,3)))/ INDIRECT(ADDRESS(13,3)),1)</f>
        <v>-0.80646968571549649</v>
      </c>
      <c r="AW13" s="3">
        <f ca="1">INDIRECT(ADDRESS(13,24))</f>
        <v>2071096.377749</v>
      </c>
      <c r="AX13" s="4">
        <f ca="1">IFERROR(INDIRECT(ADDRESS(13,24)) / INDIRECT(ADDRESS(17,24)),0)</f>
        <v>0.17282697323829402</v>
      </c>
      <c r="AY13" s="4">
        <f ca="1">IFERROR((INDIRECT(ADDRESS(13,24)) - INDIRECT(ADDRESS(13,3)))/ INDIRECT(ADDRESS(13,3)),1)</f>
        <v>-0.91472164885324847</v>
      </c>
      <c r="AZ13" s="3">
        <f ca="1">INDIRECT(ADDRESS(13,29))</f>
        <v>606112.20495499996</v>
      </c>
      <c r="BA13" s="4">
        <f ca="1">IFERROR(INDIRECT(ADDRESS(13,29)) / INDIRECT(ADDRESS(17,29)),0)</f>
        <v>6.0535361253354757E-2</v>
      </c>
      <c r="BB13" s="4">
        <f ca="1">IFERROR((INDIRECT(ADDRESS(13,29)) - INDIRECT(ADDRESS(13,3)))/ INDIRECT(ADDRESS(13,3)),1)</f>
        <v>-0.97504304966016964</v>
      </c>
      <c r="BC13" s="3">
        <f ca="1">INDIRECT(ADDRESS(13,34))</f>
        <v>40572.458707999998</v>
      </c>
      <c r="BD13" s="4">
        <f ca="1">IFERROR(INDIRECT(ADDRESS(13,34)) / INDIRECT(ADDRESS(17,34)),0)</f>
        <v>4.4543169748468931E-3</v>
      </c>
      <c r="BE13" s="4">
        <f ca="1">IFERROR((INDIRECT(ADDRESS(13,34)) - INDIRECT(ADDRESS(13,3)))/ INDIRECT(ADDRESS(13,3)),1)</f>
        <v>-0.99832941024968214</v>
      </c>
    </row>
    <row r="14" spans="1:57" x14ac:dyDescent="0.25">
      <c r="A14" s="5"/>
      <c r="B14" s="1" t="s">
        <v>44</v>
      </c>
      <c r="C14">
        <v>19106.891037000001</v>
      </c>
      <c r="D14">
        <v>47804.481246000003</v>
      </c>
      <c r="E14">
        <v>169232.88378900001</v>
      </c>
      <c r="F14">
        <v>291847.15272700001</v>
      </c>
      <c r="G14">
        <v>419514.28286500002</v>
      </c>
      <c r="H14">
        <v>570409.04172199999</v>
      </c>
      <c r="I14">
        <v>203164.03688199999</v>
      </c>
      <c r="J14">
        <v>222279.915385</v>
      </c>
      <c r="K14">
        <v>237711.218165</v>
      </c>
      <c r="L14">
        <v>247762.180678</v>
      </c>
      <c r="M14">
        <v>250918.71628600001</v>
      </c>
      <c r="N14">
        <v>254521.85709100001</v>
      </c>
      <c r="O14">
        <v>274487.026105</v>
      </c>
      <c r="P14">
        <v>290355.47627899999</v>
      </c>
      <c r="Q14">
        <v>302905.41343399999</v>
      </c>
      <c r="R14">
        <v>313963.82744999998</v>
      </c>
      <c r="S14">
        <v>322653.364764</v>
      </c>
      <c r="T14">
        <v>324282.67794899998</v>
      </c>
      <c r="U14">
        <v>324702.77633800003</v>
      </c>
      <c r="V14">
        <v>323482.12598399998</v>
      </c>
      <c r="W14">
        <v>320773.00816099998</v>
      </c>
      <c r="X14">
        <v>317542.63970699999</v>
      </c>
      <c r="Y14">
        <v>314537.51700200001</v>
      </c>
      <c r="Z14">
        <v>308477.85537499998</v>
      </c>
      <c r="AA14">
        <v>299207.09710299998</v>
      </c>
      <c r="AB14">
        <v>287103.92440999998</v>
      </c>
      <c r="AC14">
        <v>271399.73528999998</v>
      </c>
      <c r="AD14">
        <v>271850.26662200002</v>
      </c>
      <c r="AE14">
        <v>272035.92825200001</v>
      </c>
      <c r="AF14">
        <v>272024.171539</v>
      </c>
      <c r="AG14">
        <v>272126.44449899998</v>
      </c>
      <c r="AH14">
        <v>271520.736393</v>
      </c>
      <c r="AK14" s="3" t="str">
        <f ca="1">INDIRECT(ADDRESS(14,2))</f>
        <v>Grid Electricity</v>
      </c>
      <c r="AL14" s="3">
        <f ca="1">INDIRECT(ADDRESS(14,3))</f>
        <v>19106.891037000001</v>
      </c>
      <c r="AM14" s="4">
        <f ca="1">IFERROR(INDIRECT(ADDRESS(14,3)) / INDIRECT(ADDRESS(17,3)),0)</f>
        <v>3.9474936571985768E-4</v>
      </c>
      <c r="AN14" s="3">
        <f ca="1">INDIRECT(ADDRESS(14,9))</f>
        <v>203164.03688199999</v>
      </c>
      <c r="AO14" s="4">
        <f ca="1">IFERROR(INDIRECT(ADDRESS(14,9)) / INDIRECT(ADDRESS(17,9)),0)</f>
        <v>5.5291773548743761E-3</v>
      </c>
      <c r="AP14" s="4">
        <f ca="1">IFERROR((INDIRECT(ADDRESS(14,9)) - INDIRECT(ADDRESS(14,3)))/ INDIRECT(ADDRESS(14,3)),1)</f>
        <v>9.633024309846018</v>
      </c>
      <c r="AQ14" s="3">
        <f ca="1">INDIRECT(ADDRESS(14,14))</f>
        <v>254521.85709100001</v>
      </c>
      <c r="AR14" s="4">
        <f ca="1">IFERROR(INDIRECT(ADDRESS(14,14)) / INDIRECT(ADDRESS(17,14)),0)</f>
        <v>1.027036878227813E-2</v>
      </c>
      <c r="AS14" s="4">
        <f ca="1">IFERROR((INDIRECT(ADDRESS(14,14)) - INDIRECT(ADDRESS(14,3)))/ INDIRECT(ADDRESS(14,3)),1)</f>
        <v>12.320945652441573</v>
      </c>
      <c r="AT14" s="3">
        <f ca="1">INDIRECT(ADDRESS(14,19))</f>
        <v>322653.364764</v>
      </c>
      <c r="AU14" s="4">
        <f ca="1">IFERROR(INDIRECT(ADDRESS(14,19)) / INDIRECT(ADDRESS(17,19)),0)</f>
        <v>1.9764483749430514E-2</v>
      </c>
      <c r="AV14" s="4">
        <f ca="1">IFERROR((INDIRECT(ADDRESS(14,19)) - INDIRECT(ADDRESS(14,3)))/ INDIRECT(ADDRESS(14,3)),1)</f>
        <v>15.886753796794576</v>
      </c>
      <c r="AW14" s="3">
        <f ca="1">INDIRECT(ADDRESS(14,24))</f>
        <v>317542.63970699999</v>
      </c>
      <c r="AX14" s="4">
        <f ca="1">IFERROR(INDIRECT(ADDRESS(14,24)) / INDIRECT(ADDRESS(17,24)),0)</f>
        <v>2.6498010369901737E-2</v>
      </c>
      <c r="AY14" s="4">
        <f ca="1">IFERROR((INDIRECT(ADDRESS(14,24)) - INDIRECT(ADDRESS(14,3)))/ INDIRECT(ADDRESS(14,3)),1)</f>
        <v>15.619273072321754</v>
      </c>
      <c r="AZ14" s="3">
        <f ca="1">INDIRECT(ADDRESS(14,29))</f>
        <v>271399.73528999998</v>
      </c>
      <c r="BA14" s="4">
        <f ca="1">IFERROR(INDIRECT(ADDRESS(14,29)) / INDIRECT(ADDRESS(17,29)),0)</f>
        <v>2.7106005926847775E-2</v>
      </c>
      <c r="BB14" s="4">
        <f ca="1">IFERROR((INDIRECT(ADDRESS(14,29)) - INDIRECT(ADDRESS(14,3)))/ INDIRECT(ADDRESS(14,3)),1)</f>
        <v>13.204285499113457</v>
      </c>
      <c r="BC14" s="3">
        <f ca="1">INDIRECT(ADDRESS(14,34))</f>
        <v>271520.736393</v>
      </c>
      <c r="BD14" s="4">
        <f ca="1">IFERROR(INDIRECT(ADDRESS(14,34)) / INDIRECT(ADDRESS(17,34)),0)</f>
        <v>2.9809369795471465E-2</v>
      </c>
      <c r="BE14" s="4">
        <f ca="1">IFERROR((INDIRECT(ADDRESS(14,34)) - INDIRECT(ADDRESS(14,3)))/ INDIRECT(ADDRESS(14,3)),1)</f>
        <v>13.210618350583939</v>
      </c>
    </row>
    <row r="15" spans="1:57" x14ac:dyDescent="0.25">
      <c r="A15" s="5"/>
      <c r="B15" s="1" t="s">
        <v>45</v>
      </c>
      <c r="C15">
        <v>7872484.352</v>
      </c>
      <c r="D15">
        <v>7872484.352</v>
      </c>
      <c r="E15">
        <v>7785012.07424</v>
      </c>
      <c r="F15">
        <v>7697540.2657160005</v>
      </c>
      <c r="G15">
        <v>7610068.4571930002</v>
      </c>
      <c r="H15">
        <v>7522596.1794330003</v>
      </c>
      <c r="I15">
        <v>7435123.9016730003</v>
      </c>
      <c r="J15">
        <v>7347652.0931489998</v>
      </c>
      <c r="K15">
        <v>7260180.2846259996</v>
      </c>
      <c r="L15">
        <v>7172708.0068650004</v>
      </c>
      <c r="M15">
        <v>7085235.7291050004</v>
      </c>
      <c r="N15">
        <v>6997763.9205820002</v>
      </c>
      <c r="O15">
        <v>6910292.1120579997</v>
      </c>
      <c r="P15">
        <v>6822819.8342979997</v>
      </c>
      <c r="Q15">
        <v>6735347.5565379998</v>
      </c>
      <c r="R15">
        <v>6647875.7480149996</v>
      </c>
      <c r="S15">
        <v>6560403.939491</v>
      </c>
      <c r="T15">
        <v>6472931.6617310001</v>
      </c>
      <c r="U15">
        <v>6385459.3839710001</v>
      </c>
      <c r="V15">
        <v>6297987.5754469996</v>
      </c>
      <c r="W15">
        <v>6297987.5754469996</v>
      </c>
      <c r="X15">
        <v>6297987.5754469996</v>
      </c>
      <c r="Y15">
        <v>6297987.5754469996</v>
      </c>
      <c r="Z15">
        <v>6297987.5754469996</v>
      </c>
      <c r="AA15">
        <v>6297987.5754469996</v>
      </c>
      <c r="AB15">
        <v>6297987.5754469996</v>
      </c>
      <c r="AC15">
        <v>6297987.5754469996</v>
      </c>
      <c r="AD15">
        <v>6297987.5754469996</v>
      </c>
      <c r="AE15">
        <v>6297987.5754469996</v>
      </c>
      <c r="AF15">
        <v>6297987.5754469996</v>
      </c>
      <c r="AG15">
        <v>6297987.5754469996</v>
      </c>
      <c r="AH15">
        <v>6297987.5754469996</v>
      </c>
      <c r="AK15" s="3" t="str">
        <f ca="1">INDIRECT(ADDRESS(15,2))</f>
        <v>Jet Fuel</v>
      </c>
      <c r="AL15" s="3">
        <f ca="1">INDIRECT(ADDRESS(15,3))</f>
        <v>7872484.352</v>
      </c>
      <c r="AM15" s="4">
        <f ca="1">IFERROR(INDIRECT(ADDRESS(15,3)) / INDIRECT(ADDRESS(17,3)),0)</f>
        <v>0.1626459374564708</v>
      </c>
      <c r="AN15" s="3">
        <f ca="1">INDIRECT(ADDRESS(15,9))</f>
        <v>7435123.9016730003</v>
      </c>
      <c r="AO15" s="4">
        <f ca="1">IFERROR(INDIRECT(ADDRESS(15,9)) / INDIRECT(ADDRESS(17,9)),0)</f>
        <v>0.20234938889156254</v>
      </c>
      <c r="AP15" s="4">
        <f ca="1">IFERROR((INDIRECT(ADDRESS(15,9)) - INDIRECT(ADDRESS(15,3)))/ INDIRECT(ADDRESS(15,3)),1)</f>
        <v>-5.5555582046458878E-2</v>
      </c>
      <c r="AQ15" s="3">
        <f ca="1">INDIRECT(ADDRESS(15,14))</f>
        <v>6997763.9205820002</v>
      </c>
      <c r="AR15" s="4">
        <f ca="1">IFERROR(INDIRECT(ADDRESS(15,14)) / INDIRECT(ADDRESS(17,14)),0)</f>
        <v>0.28237109746532224</v>
      </c>
      <c r="AS15" s="4">
        <f ca="1">IFERROR((INDIRECT(ADDRESS(15,14)) - INDIRECT(ADDRESS(15,3)))/ INDIRECT(ADDRESS(15,3)),1)</f>
        <v>-0.11111110448835348</v>
      </c>
      <c r="AT15" s="3">
        <f ca="1">INDIRECT(ADDRESS(15,19))</f>
        <v>6560403.939491</v>
      </c>
      <c r="AU15" s="4">
        <f ca="1">IFERROR(INDIRECT(ADDRESS(15,19)) / INDIRECT(ADDRESS(17,19)),0)</f>
        <v>0.40186469819277998</v>
      </c>
      <c r="AV15" s="4">
        <f ca="1">IFERROR((INDIRECT(ADDRESS(15,19)) - INDIRECT(ADDRESS(15,3)))/ INDIRECT(ADDRESS(15,3)),1)</f>
        <v>-0.16666662693024809</v>
      </c>
      <c r="AW15" s="3">
        <f ca="1">INDIRECT(ADDRESS(15,24))</f>
        <v>6297987.5754469996</v>
      </c>
      <c r="AX15" s="4">
        <f ca="1">IFERROR(INDIRECT(ADDRESS(15,24)) / INDIRECT(ADDRESS(17,24)),0)</f>
        <v>0.52554875854686067</v>
      </c>
      <c r="AY15" s="4">
        <f ca="1">IFERROR((INDIRECT(ADDRESS(15,24)) - INDIRECT(ADDRESS(15,3)))/ INDIRECT(ADDRESS(15,3)),1)</f>
        <v>-0.19999998807911257</v>
      </c>
      <c r="AZ15" s="3">
        <f ca="1">INDIRECT(ADDRESS(15,29))</f>
        <v>6297987.5754469996</v>
      </c>
      <c r="BA15" s="4">
        <f ca="1">IFERROR(INDIRECT(ADDRESS(15,29)) / INDIRECT(ADDRESS(17,29)),0)</f>
        <v>0.62901051972238287</v>
      </c>
      <c r="BB15" s="4">
        <f ca="1">IFERROR((INDIRECT(ADDRESS(15,29)) - INDIRECT(ADDRESS(15,3)))/ INDIRECT(ADDRESS(15,3)),1)</f>
        <v>-0.19999998807911257</v>
      </c>
      <c r="BC15" s="3">
        <f ca="1">INDIRECT(ADDRESS(15,34))</f>
        <v>6297987.5754469996</v>
      </c>
      <c r="BD15" s="4">
        <f ca="1">IFERROR(INDIRECT(ADDRESS(15,34)) / INDIRECT(ADDRESS(17,34)),0)</f>
        <v>0.69143536916477077</v>
      </c>
      <c r="BE15" s="4">
        <f ca="1">IFERROR((INDIRECT(ADDRESS(15,34)) - INDIRECT(ADDRESS(15,3)))/ INDIRECT(ADDRESS(15,3)),1)</f>
        <v>-0.19999998807911257</v>
      </c>
    </row>
    <row r="16" spans="1:57" x14ac:dyDescent="0.25">
      <c r="A16" s="5"/>
      <c r="B16" s="1" t="s">
        <v>46</v>
      </c>
      <c r="C16">
        <v>10900.915784000001</v>
      </c>
      <c r="D16">
        <v>10900.915784000001</v>
      </c>
      <c r="E16">
        <v>10797.434009000001</v>
      </c>
      <c r="F16">
        <v>10693.952794000001</v>
      </c>
      <c r="G16">
        <v>10590.471573999999</v>
      </c>
      <c r="H16">
        <v>10486.989802</v>
      </c>
      <c r="I16">
        <v>10383.508024999999</v>
      </c>
      <c r="J16">
        <v>10280.026806</v>
      </c>
      <c r="K16">
        <v>10176.545588000001</v>
      </c>
      <c r="L16">
        <v>10073.063813000001</v>
      </c>
      <c r="M16">
        <v>9969.5820390000008</v>
      </c>
      <c r="N16">
        <v>9866.100821</v>
      </c>
      <c r="O16">
        <v>9762.6196020000007</v>
      </c>
      <c r="P16">
        <v>9659.1378299999997</v>
      </c>
      <c r="Q16">
        <v>9555.6560549999995</v>
      </c>
      <c r="R16">
        <v>9452.1748339999995</v>
      </c>
      <c r="S16">
        <v>9348.6936189999997</v>
      </c>
      <c r="T16">
        <v>9245.2118420000006</v>
      </c>
      <c r="U16">
        <v>9141.730071</v>
      </c>
      <c r="V16">
        <v>9038.2488499999999</v>
      </c>
      <c r="W16">
        <v>9038.2488499999999</v>
      </c>
      <c r="X16">
        <v>9038.2488499999999</v>
      </c>
      <c r="Y16">
        <v>9038.2488499999999</v>
      </c>
      <c r="Z16">
        <v>9038.2488499999999</v>
      </c>
      <c r="AA16">
        <v>9038.2488499999999</v>
      </c>
      <c r="AB16">
        <v>9038.2488499999999</v>
      </c>
      <c r="AC16">
        <v>9038.2488499999999</v>
      </c>
      <c r="AD16">
        <v>9038.2488499999999</v>
      </c>
      <c r="AE16">
        <v>9038.2488499999999</v>
      </c>
      <c r="AF16">
        <v>9038.2488499999999</v>
      </c>
      <c r="AG16">
        <v>9038.2488499999999</v>
      </c>
      <c r="AH16">
        <v>9038.2488499999999</v>
      </c>
      <c r="AK16" s="3" t="str">
        <f ca="1">INDIRECT(ADDRESS(16,2))</f>
        <v>Natural Gas</v>
      </c>
      <c r="AL16" s="3">
        <f ca="1">INDIRECT(ADDRESS(16,3))</f>
        <v>10900.915784000001</v>
      </c>
      <c r="AM16" s="4">
        <f ca="1">IFERROR(INDIRECT(ADDRESS(16,3)) / INDIRECT(ADDRESS(17,3)),0)</f>
        <v>2.2521348884895433E-4</v>
      </c>
      <c r="AN16" s="3">
        <f ca="1">INDIRECT(ADDRESS(16,9))</f>
        <v>10383.508024999999</v>
      </c>
      <c r="AO16" s="4">
        <f ca="1">IFERROR(INDIRECT(ADDRESS(16,9)) / INDIRECT(ADDRESS(17,9)),0)</f>
        <v>2.825906509690593E-4</v>
      </c>
      <c r="AP16" s="4">
        <f ca="1">IFERROR((INDIRECT(ADDRESS(16,9)) - INDIRECT(ADDRESS(16,3)))/ INDIRECT(ADDRESS(16,3)),1)</f>
        <v>-4.7464613914313079E-2</v>
      </c>
      <c r="AQ16" s="3">
        <f ca="1">INDIRECT(ADDRESS(16,14))</f>
        <v>9866.100821</v>
      </c>
      <c r="AR16" s="4">
        <f ca="1">IFERROR(INDIRECT(ADDRESS(16,14)) / INDIRECT(ADDRESS(17,14)),0)</f>
        <v>3.9811313273020293E-4</v>
      </c>
      <c r="AS16" s="4">
        <f ca="1">IFERROR((INDIRECT(ADDRESS(16,14)) - INDIRECT(ADDRESS(16,3)))/ INDIRECT(ADDRESS(16,3)),1)</f>
        <v>-9.4929176915472327E-2</v>
      </c>
      <c r="AT16" s="3">
        <f ca="1">INDIRECT(ADDRESS(16,19))</f>
        <v>9348.6936189999997</v>
      </c>
      <c r="AU16" s="4">
        <f ca="1">IFERROR(INDIRECT(ADDRESS(16,19)) / INDIRECT(ADDRESS(17,19)),0)</f>
        <v>5.72664423463487E-4</v>
      </c>
      <c r="AV16" s="4">
        <f ca="1">IFERROR((INDIRECT(ADDRESS(16,19)) - INDIRECT(ADDRESS(16,3)))/ INDIRECT(ADDRESS(16,3)),1)</f>
        <v>-0.14239373973316083</v>
      </c>
      <c r="AW16" s="3">
        <f ca="1">INDIRECT(ADDRESS(16,24))</f>
        <v>9038.2488499999999</v>
      </c>
      <c r="AX16" s="4">
        <f ca="1">IFERROR(INDIRECT(ADDRESS(16,24)) / INDIRECT(ADDRESS(17,24)),0)</f>
        <v>7.5421559754632517E-4</v>
      </c>
      <c r="AY16" s="4">
        <f ca="1">IFERROR((INDIRECT(ADDRESS(16,24)) - INDIRECT(ADDRESS(16,3)))/ INDIRECT(ADDRESS(16,3)),1)</f>
        <v>-0.17087251850289137</v>
      </c>
      <c r="AZ16" s="3">
        <f ca="1">INDIRECT(ADDRESS(16,29))</f>
        <v>9038.2488499999999</v>
      </c>
      <c r="BA16" s="4">
        <f ca="1">IFERROR(INDIRECT(ADDRESS(16,29)) / INDIRECT(ADDRESS(17,29)),0)</f>
        <v>9.0269368404005234E-4</v>
      </c>
      <c r="BB16" s="4">
        <f ca="1">IFERROR((INDIRECT(ADDRESS(16,29)) - INDIRECT(ADDRESS(16,3)))/ INDIRECT(ADDRESS(16,3)),1)</f>
        <v>-0.17087251850289137</v>
      </c>
      <c r="BC16" s="3">
        <f ca="1">INDIRECT(ADDRESS(16,34))</f>
        <v>9038.2488499999999</v>
      </c>
      <c r="BD16" s="4">
        <f ca="1">IFERROR(INDIRECT(ADDRESS(16,34)) / INDIRECT(ADDRESS(17,34)),0)</f>
        <v>9.9227965367322361E-4</v>
      </c>
      <c r="BE16" s="4">
        <f ca="1">IFERROR((INDIRECT(ADDRESS(16,34)) - INDIRECT(ADDRESS(16,3)))/ INDIRECT(ADDRESS(16,3)),1)</f>
        <v>-0.17087251850289137</v>
      </c>
    </row>
    <row r="17" spans="1:57" x14ac:dyDescent="0.25">
      <c r="A17" s="1" t="s">
        <v>21</v>
      </c>
      <c r="B17" s="1"/>
      <c r="C17">
        <v>48402588.316151001</v>
      </c>
      <c r="D17">
        <v>47680154.966900997</v>
      </c>
      <c r="E17">
        <v>45949683.106274001</v>
      </c>
      <c r="F17">
        <v>44051196.815537997</v>
      </c>
      <c r="G17">
        <v>42250293.35248401</v>
      </c>
      <c r="H17">
        <v>40086207.101287007</v>
      </c>
      <c r="I17">
        <v>36743989.899852999</v>
      </c>
      <c r="J17">
        <v>34328560.39164</v>
      </c>
      <c r="K17">
        <v>31846603.801075999</v>
      </c>
      <c r="L17">
        <v>29350864.836417001</v>
      </c>
      <c r="M17">
        <v>26945225.144010998</v>
      </c>
      <c r="N17">
        <v>24782153.638941001</v>
      </c>
      <c r="O17">
        <v>22869866.767287999</v>
      </c>
      <c r="P17">
        <v>21142884.635492001</v>
      </c>
      <c r="Q17">
        <v>19525756.20891</v>
      </c>
      <c r="R17">
        <v>17827414.401404001</v>
      </c>
      <c r="S17">
        <v>16324907.285944</v>
      </c>
      <c r="T17">
        <v>15318667.787156001</v>
      </c>
      <c r="U17">
        <v>14320718.699232999</v>
      </c>
      <c r="V17">
        <v>13364871.706567001</v>
      </c>
      <c r="W17">
        <v>12645696.341058001</v>
      </c>
      <c r="X17">
        <v>11983640.857341001</v>
      </c>
      <c r="Y17">
        <v>11505726.857825</v>
      </c>
      <c r="Z17">
        <v>11062977.188049</v>
      </c>
      <c r="AA17">
        <v>10665941.333456</v>
      </c>
      <c r="AB17">
        <v>10317248.519347001</v>
      </c>
      <c r="AC17">
        <v>10012531.393316999</v>
      </c>
      <c r="AD17">
        <v>9767364.0047759991</v>
      </c>
      <c r="AE17">
        <v>9560773.4215350002</v>
      </c>
      <c r="AF17">
        <v>9386946.0078809988</v>
      </c>
      <c r="AG17">
        <v>9239131.9881799985</v>
      </c>
      <c r="AH17">
        <v>9108570.1662249994</v>
      </c>
    </row>
    <row r="18" spans="1:57" x14ac:dyDescent="0.25">
      <c r="A18" s="5" t="s">
        <v>2</v>
      </c>
      <c r="B18" s="1" t="s">
        <v>41</v>
      </c>
      <c r="C18">
        <v>16213787.265347</v>
      </c>
      <c r="D18">
        <v>15531021.755192</v>
      </c>
      <c r="E18">
        <v>14818262.868488999</v>
      </c>
      <c r="F18">
        <v>14088079.797666</v>
      </c>
      <c r="G18">
        <v>13373052.170359001</v>
      </c>
      <c r="H18">
        <v>12528839.470874</v>
      </c>
      <c r="I18">
        <v>11750046.127835</v>
      </c>
      <c r="J18">
        <v>10923793.472943</v>
      </c>
      <c r="K18">
        <v>10137826.048010999</v>
      </c>
      <c r="L18">
        <v>9372473.1312189996</v>
      </c>
      <c r="M18">
        <v>8628279.5278999992</v>
      </c>
      <c r="N18">
        <v>7917861.3619139995</v>
      </c>
      <c r="O18">
        <v>7235564.9679199997</v>
      </c>
      <c r="P18">
        <v>6584523.6254169997</v>
      </c>
      <c r="Q18">
        <v>5951586.3310099998</v>
      </c>
      <c r="R18">
        <v>5324068.8109499998</v>
      </c>
      <c r="S18">
        <v>4732364.2953940006</v>
      </c>
      <c r="T18">
        <v>4407525.6759230001</v>
      </c>
      <c r="U18">
        <v>4088348.9270120002</v>
      </c>
      <c r="V18">
        <v>3778516.763572</v>
      </c>
      <c r="W18">
        <v>3529888.5391799998</v>
      </c>
      <c r="X18">
        <v>3287976.015588</v>
      </c>
      <c r="Y18">
        <v>3185261.4769580001</v>
      </c>
      <c r="Z18">
        <v>3087191.413780001</v>
      </c>
      <c r="AA18">
        <v>2994912.8888920001</v>
      </c>
      <c r="AB18">
        <v>2908653.57063</v>
      </c>
      <c r="AC18">
        <v>2827993.6287750001</v>
      </c>
      <c r="AD18">
        <v>2752520.5133659998</v>
      </c>
      <c r="AE18">
        <v>2681628.98728</v>
      </c>
      <c r="AF18">
        <v>2614682.5263060001</v>
      </c>
      <c r="AG18">
        <v>2550913.961995</v>
      </c>
      <c r="AH18">
        <v>2489451.1468270002</v>
      </c>
      <c r="AK18" s="3" t="str">
        <f ca="1">INDIRECT(ADDRESS(18,2))</f>
        <v>Diesel</v>
      </c>
      <c r="AL18" s="3">
        <f ca="1">INDIRECT(ADDRESS(18,3))</f>
        <v>16213787.265347</v>
      </c>
      <c r="AM18" s="4">
        <f ca="1">IFERROR(INDIRECT(ADDRESS(18,3)) / INDIRECT(ADDRESS(23,3)),0)</f>
        <v>0.33497769085081708</v>
      </c>
      <c r="AN18" s="3">
        <f ca="1">INDIRECT(ADDRESS(18,9))</f>
        <v>11750046.127835</v>
      </c>
      <c r="AO18" s="4">
        <f ca="1">IFERROR(INDIRECT(ADDRESS(18,9)) / INDIRECT(ADDRESS(23,9)),0)</f>
        <v>0.31673427126551001</v>
      </c>
      <c r="AP18" s="4">
        <f ca="1">IFERROR((INDIRECT(ADDRESS(18,9)) - INDIRECT(ADDRESS(18,3)))/ INDIRECT(ADDRESS(18,3)),1)</f>
        <v>-0.27530527349721395</v>
      </c>
      <c r="AQ18" s="3">
        <f ca="1">INDIRECT(ADDRESS(18,14))</f>
        <v>7917861.3619139995</v>
      </c>
      <c r="AR18" s="4">
        <f ca="1">IFERROR(INDIRECT(ADDRESS(18,14)) / INDIRECT(ADDRESS(23,14)),0)</f>
        <v>0.31195298016989287</v>
      </c>
      <c r="AS18" s="4">
        <f ca="1">IFERROR((INDIRECT(ADDRESS(18,14)) - INDIRECT(ADDRESS(18,3)))/ INDIRECT(ADDRESS(18,3)),1)</f>
        <v>-0.51165873633753112</v>
      </c>
      <c r="AT18" s="3">
        <f ca="1">INDIRECT(ADDRESS(18,19))</f>
        <v>4732364.2953940006</v>
      </c>
      <c r="AU18" s="4">
        <f ca="1">IFERROR(INDIRECT(ADDRESS(18,19)) / INDIRECT(ADDRESS(23,19)),0)</f>
        <v>0.27809264353918106</v>
      </c>
      <c r="AV18" s="4">
        <f ca="1">IFERROR((INDIRECT(ADDRESS(18,19)) - INDIRECT(ADDRESS(18,3)))/ INDIRECT(ADDRESS(18,3)),1)</f>
        <v>-0.70812715018728112</v>
      </c>
      <c r="AW18" s="3">
        <f ca="1">INDIRECT(ADDRESS(18,24))</f>
        <v>3287976.015588</v>
      </c>
      <c r="AX18" s="4">
        <f ca="1">IFERROR(INDIRECT(ADDRESS(18,24)) / INDIRECT(ADDRESS(23,24)),0)</f>
        <v>0.26321422820785473</v>
      </c>
      <c r="AY18" s="4">
        <f ca="1">IFERROR((INDIRECT(ADDRESS(18,24)) - INDIRECT(ADDRESS(18,3)))/ INDIRECT(ADDRESS(18,3)),1)</f>
        <v>-0.79721110424242192</v>
      </c>
      <c r="AZ18" s="3">
        <f ca="1">INDIRECT(ADDRESS(18,29))</f>
        <v>2827993.6287750001</v>
      </c>
      <c r="BA18" s="4">
        <f ca="1">IFERROR(INDIRECT(ADDRESS(18,29)) / INDIRECT(ADDRESS(23,29)),0)</f>
        <v>0.27405782838167797</v>
      </c>
      <c r="BB18" s="4">
        <f ca="1">IFERROR((INDIRECT(ADDRESS(18,29)) - INDIRECT(ADDRESS(18,3)))/ INDIRECT(ADDRESS(18,3)),1)</f>
        <v>-0.82558093414614209</v>
      </c>
      <c r="BC18" s="3">
        <f ca="1">INDIRECT(ADDRESS(18,34))</f>
        <v>2489451.1468270002</v>
      </c>
      <c r="BD18" s="4">
        <f ca="1">IFERROR(INDIRECT(ADDRESS(18,34)) / INDIRECT(ADDRESS(23,34)),0)</f>
        <v>0.27024431164950319</v>
      </c>
      <c r="BE18" s="4">
        <f ca="1">IFERROR((INDIRECT(ADDRESS(18,34)) - INDIRECT(ADDRESS(18,3)))/ INDIRECT(ADDRESS(18,3)),1)</f>
        <v>-0.84646084803717681</v>
      </c>
    </row>
    <row r="19" spans="1:57" x14ac:dyDescent="0.25">
      <c r="A19" s="5"/>
      <c r="B19" s="1" t="s">
        <v>127</v>
      </c>
      <c r="C19">
        <v>24286308.891982999</v>
      </c>
      <c r="D19">
        <v>24217943.462678999</v>
      </c>
      <c r="E19">
        <v>23166377.845747001</v>
      </c>
      <c r="F19">
        <v>21963035.646635</v>
      </c>
      <c r="G19">
        <v>20837067.970493</v>
      </c>
      <c r="H19">
        <v>19453875.419456001</v>
      </c>
      <c r="I19">
        <v>17345272.325438</v>
      </c>
      <c r="J19">
        <v>15824554.883357</v>
      </c>
      <c r="K19">
        <v>14200709.704685999</v>
      </c>
      <c r="L19">
        <v>12547848.453841999</v>
      </c>
      <c r="M19">
        <v>10970821.588680999</v>
      </c>
      <c r="N19">
        <v>9602140.3985329997</v>
      </c>
      <c r="O19">
        <v>8439760.0416030008</v>
      </c>
      <c r="P19">
        <v>7435526.5616680002</v>
      </c>
      <c r="Q19">
        <v>6526361.2518730015</v>
      </c>
      <c r="R19">
        <v>5532053.8401549999</v>
      </c>
      <c r="S19">
        <v>4700136.9926760001</v>
      </c>
      <c r="T19">
        <v>4104682.559711</v>
      </c>
      <c r="U19">
        <v>3513065.8818410002</v>
      </c>
      <c r="V19">
        <v>2955846.9927139999</v>
      </c>
      <c r="W19">
        <v>2488008.96942</v>
      </c>
      <c r="X19">
        <v>2071096.377749</v>
      </c>
      <c r="Y19">
        <v>1698902.039568</v>
      </c>
      <c r="Z19">
        <v>1360282.0945969999</v>
      </c>
      <c r="AA19">
        <v>1064795.5231639999</v>
      </c>
      <c r="AB19">
        <v>814465.20001000003</v>
      </c>
      <c r="AC19">
        <v>606112.20495499996</v>
      </c>
      <c r="AD19">
        <v>435967.40049099998</v>
      </c>
      <c r="AE19">
        <v>300082.681706</v>
      </c>
      <c r="AF19">
        <v>193213.485739</v>
      </c>
      <c r="AG19">
        <v>109065.75738900001</v>
      </c>
      <c r="AH19">
        <v>40572.458707999998</v>
      </c>
      <c r="AK19" s="3" t="str">
        <f ca="1">INDIRECT(ADDRESS(19,2))</f>
        <v>Gas</v>
      </c>
      <c r="AL19" s="3">
        <f ca="1">INDIRECT(ADDRESS(19,3))</f>
        <v>24286308.891982999</v>
      </c>
      <c r="AM19" s="4">
        <f ca="1">IFERROR(INDIRECT(ADDRESS(19,3)) / INDIRECT(ADDRESS(23,3)),0)</f>
        <v>0.50175640883814332</v>
      </c>
      <c r="AN19" s="3">
        <f ca="1">INDIRECT(ADDRESS(19,9))</f>
        <v>17345272.325438</v>
      </c>
      <c r="AO19" s="4">
        <f ca="1">IFERROR(INDIRECT(ADDRESS(19,9)) / INDIRECT(ADDRESS(23,9)),0)</f>
        <v>0.46755920190686856</v>
      </c>
      <c r="AP19" s="4">
        <f ca="1">IFERROR((INDIRECT(ADDRESS(19,9)) - INDIRECT(ADDRESS(19,3)))/ INDIRECT(ADDRESS(19,3)),1)</f>
        <v>-0.28580039055816592</v>
      </c>
      <c r="AQ19" s="3">
        <f ca="1">INDIRECT(ADDRESS(19,14))</f>
        <v>9602140.3985329997</v>
      </c>
      <c r="AR19" s="4">
        <f ca="1">IFERROR(INDIRECT(ADDRESS(19,14)) / INDIRECT(ADDRESS(23,14)),0)</f>
        <v>0.37831128589096746</v>
      </c>
      <c r="AS19" s="4">
        <f ca="1">IFERROR((INDIRECT(ADDRESS(19,14)) - INDIRECT(ADDRESS(19,3)))/ INDIRECT(ADDRESS(19,3)),1)</f>
        <v>-0.60462742851373752</v>
      </c>
      <c r="AT19" s="3">
        <f ca="1">INDIRECT(ADDRESS(19,19))</f>
        <v>4700136.9926760001</v>
      </c>
      <c r="AU19" s="4">
        <f ca="1">IFERROR(INDIRECT(ADDRESS(19,19)) / INDIRECT(ADDRESS(23,19)),0)</f>
        <v>0.27619883840340376</v>
      </c>
      <c r="AV19" s="4">
        <f ca="1">IFERROR((INDIRECT(ADDRESS(19,19)) - INDIRECT(ADDRESS(19,3)))/ INDIRECT(ADDRESS(19,3)),1)</f>
        <v>-0.80646968571549649</v>
      </c>
      <c r="AW19" s="3">
        <f ca="1">INDIRECT(ADDRESS(19,24))</f>
        <v>2071096.377749</v>
      </c>
      <c r="AX19" s="4">
        <f ca="1">IFERROR(INDIRECT(ADDRESS(19,24)) / INDIRECT(ADDRESS(23,24)),0)</f>
        <v>0.16579866520583392</v>
      </c>
      <c r="AY19" s="4">
        <f ca="1">IFERROR((INDIRECT(ADDRESS(19,24)) - INDIRECT(ADDRESS(19,3)))/ INDIRECT(ADDRESS(19,3)),1)</f>
        <v>-0.91472164885324847</v>
      </c>
      <c r="AZ19" s="3">
        <f ca="1">INDIRECT(ADDRESS(19,29))</f>
        <v>606112.20495499996</v>
      </c>
      <c r="BA19" s="4">
        <f ca="1">IFERROR(INDIRECT(ADDRESS(19,29)) / INDIRECT(ADDRESS(23,29)),0)</f>
        <v>5.8737683478286846E-2</v>
      </c>
      <c r="BB19" s="4">
        <f ca="1">IFERROR((INDIRECT(ADDRESS(19,29)) - INDIRECT(ADDRESS(19,3)))/ INDIRECT(ADDRESS(19,3)),1)</f>
        <v>-0.97504304966016964</v>
      </c>
      <c r="BC19" s="3">
        <f ca="1">INDIRECT(ADDRESS(19,34))</f>
        <v>40572.458707999998</v>
      </c>
      <c r="BD19" s="4">
        <f ca="1">IFERROR(INDIRECT(ADDRESS(19,34)) / INDIRECT(ADDRESS(23,34)),0)</f>
        <v>4.4043749118943074E-3</v>
      </c>
      <c r="BE19" s="4">
        <f ca="1">IFERROR((INDIRECT(ADDRESS(19,34)) - INDIRECT(ADDRESS(19,3)))/ INDIRECT(ADDRESS(19,3)),1)</f>
        <v>-0.99832941024968214</v>
      </c>
    </row>
    <row r="20" spans="1:57" x14ac:dyDescent="0.25">
      <c r="A20" s="5"/>
      <c r="B20" s="1" t="s">
        <v>44</v>
      </c>
      <c r="C20">
        <v>19106.891037000001</v>
      </c>
      <c r="D20">
        <v>31653.626755000001</v>
      </c>
      <c r="E20">
        <v>63456.509956000002</v>
      </c>
      <c r="F20">
        <v>95989.168741999994</v>
      </c>
      <c r="G20">
        <v>136392.554133</v>
      </c>
      <c r="H20">
        <v>202743.160814</v>
      </c>
      <c r="I20">
        <v>89097.788614999998</v>
      </c>
      <c r="J20">
        <v>106803.547154</v>
      </c>
      <c r="K20">
        <v>125002.44918</v>
      </c>
      <c r="L20">
        <v>140587.122474</v>
      </c>
      <c r="M20">
        <v>148614.61950900001</v>
      </c>
      <c r="N20">
        <v>150856.15283599999</v>
      </c>
      <c r="O20">
        <v>168946.96509300001</v>
      </c>
      <c r="P20">
        <v>183624.26229099999</v>
      </c>
      <c r="Q20">
        <v>195501.1422</v>
      </c>
      <c r="R20">
        <v>206539.634208</v>
      </c>
      <c r="S20">
        <v>214031.50262300001</v>
      </c>
      <c r="T20">
        <v>215081.578198</v>
      </c>
      <c r="U20">
        <v>214938.91202700001</v>
      </c>
      <c r="V20">
        <v>212997.08767400001</v>
      </c>
      <c r="W20">
        <v>209175.67218299999</v>
      </c>
      <c r="X20">
        <v>203745.782477</v>
      </c>
      <c r="Y20">
        <v>196704.83557699999</v>
      </c>
      <c r="Z20">
        <v>187392.085693</v>
      </c>
      <c r="AA20">
        <v>175792.06023100001</v>
      </c>
      <c r="AB20">
        <v>162223.61004900001</v>
      </c>
      <c r="AC20">
        <v>146576.87427</v>
      </c>
      <c r="AD20">
        <v>147512.42588600001</v>
      </c>
      <c r="AE20">
        <v>148128.520716</v>
      </c>
      <c r="AF20">
        <v>148499.65679199999</v>
      </c>
      <c r="AG20">
        <v>148772.16891899999</v>
      </c>
      <c r="AH20">
        <v>148695.935635</v>
      </c>
      <c r="AK20" s="3" t="str">
        <f ca="1">INDIRECT(ADDRESS(20,2))</f>
        <v>Grid Electricity</v>
      </c>
      <c r="AL20" s="3">
        <f ca="1">INDIRECT(ADDRESS(20,3))</f>
        <v>19106.891037000001</v>
      </c>
      <c r="AM20" s="4">
        <f ca="1">IFERROR(INDIRECT(ADDRESS(20,3)) / INDIRECT(ADDRESS(23,3)),0)</f>
        <v>3.9474936571985768E-4</v>
      </c>
      <c r="AN20" s="3">
        <f ca="1">INDIRECT(ADDRESS(20,9))</f>
        <v>89097.788614999998</v>
      </c>
      <c r="AO20" s="4">
        <f ca="1">IFERROR(INDIRECT(ADDRESS(20,9)) / INDIRECT(ADDRESS(23,9)),0)</f>
        <v>2.4017202010372198E-3</v>
      </c>
      <c r="AP20" s="4">
        <f ca="1">IFERROR((INDIRECT(ADDRESS(20,9)) - INDIRECT(ADDRESS(20,3)))/ INDIRECT(ADDRESS(20,3)),1)</f>
        <v>3.6631232910924356</v>
      </c>
      <c r="AQ20" s="3">
        <f ca="1">INDIRECT(ADDRESS(20,14))</f>
        <v>150856.15283599999</v>
      </c>
      <c r="AR20" s="4">
        <f ca="1">IFERROR(INDIRECT(ADDRESS(20,14)) / INDIRECT(ADDRESS(23,14)),0)</f>
        <v>5.9435274631758801E-3</v>
      </c>
      <c r="AS20" s="4">
        <f ca="1">IFERROR((INDIRECT(ADDRESS(20,14)) - INDIRECT(ADDRESS(20,3)))/ INDIRECT(ADDRESS(20,3)),1)</f>
        <v>6.8953793447542537</v>
      </c>
      <c r="AT20" s="3">
        <f ca="1">INDIRECT(ADDRESS(20,19))</f>
        <v>214031.50262300001</v>
      </c>
      <c r="AU20" s="4">
        <f ca="1">IFERROR(INDIRECT(ADDRESS(20,19)) / INDIRECT(ADDRESS(23,19)),0)</f>
        <v>1.2577346681240175E-2</v>
      </c>
      <c r="AV20" s="4">
        <f ca="1">IFERROR((INDIRECT(ADDRESS(20,19)) - INDIRECT(ADDRESS(20,3)))/ INDIRECT(ADDRESS(20,3)),1)</f>
        <v>10.20179636805033</v>
      </c>
      <c r="AW20" s="3">
        <f ca="1">INDIRECT(ADDRESS(20,24))</f>
        <v>203745.782477</v>
      </c>
      <c r="AX20" s="4">
        <f ca="1">IFERROR(INDIRECT(ADDRESS(20,24)) / INDIRECT(ADDRESS(23,24)),0)</f>
        <v>1.631057788470467E-2</v>
      </c>
      <c r="AY20" s="4">
        <f ca="1">IFERROR((INDIRECT(ADDRESS(20,24)) - INDIRECT(ADDRESS(20,3)))/ INDIRECT(ADDRESS(20,3)),1)</f>
        <v>9.6634712095469411</v>
      </c>
      <c r="AZ20" s="3">
        <f ca="1">INDIRECT(ADDRESS(20,29))</f>
        <v>146576.87427</v>
      </c>
      <c r="BA20" s="4">
        <f ca="1">IFERROR(INDIRECT(ADDRESS(20,29)) / INDIRECT(ADDRESS(23,29)),0)</f>
        <v>1.4204607621697892E-2</v>
      </c>
      <c r="BB20" s="4">
        <f ca="1">IFERROR((INDIRECT(ADDRESS(20,29)) - INDIRECT(ADDRESS(20,3)))/ INDIRECT(ADDRESS(20,3)),1)</f>
        <v>6.6714141503271085</v>
      </c>
      <c r="BC20" s="3">
        <f ca="1">INDIRECT(ADDRESS(20,34))</f>
        <v>148695.935635</v>
      </c>
      <c r="BD20" s="4">
        <f ca="1">IFERROR(INDIRECT(ADDRESS(20,34)) / INDIRECT(ADDRESS(23,34)),0)</f>
        <v>1.6141803313544572E-2</v>
      </c>
      <c r="BE20" s="4">
        <f ca="1">IFERROR((INDIRECT(ADDRESS(20,34)) - INDIRECT(ADDRESS(20,3)))/ INDIRECT(ADDRESS(20,3)),1)</f>
        <v>6.7823197581989749</v>
      </c>
    </row>
    <row r="21" spans="1:57" x14ac:dyDescent="0.25">
      <c r="A21" s="5"/>
      <c r="B21" s="1" t="s">
        <v>45</v>
      </c>
      <c r="C21">
        <v>7872484.352</v>
      </c>
      <c r="D21">
        <v>7872484.352</v>
      </c>
      <c r="E21">
        <v>7785012.07424</v>
      </c>
      <c r="F21">
        <v>7697540.2657160005</v>
      </c>
      <c r="G21">
        <v>7610068.4571930002</v>
      </c>
      <c r="H21">
        <v>7522596.1794330003</v>
      </c>
      <c r="I21">
        <v>7435123.9016730003</v>
      </c>
      <c r="J21">
        <v>7347652.0931489998</v>
      </c>
      <c r="K21">
        <v>7260180.2846259996</v>
      </c>
      <c r="L21">
        <v>7172708.0068650004</v>
      </c>
      <c r="M21">
        <v>7085235.7291050004</v>
      </c>
      <c r="N21">
        <v>6997763.9205820002</v>
      </c>
      <c r="O21">
        <v>6910292.1120579997</v>
      </c>
      <c r="P21">
        <v>6822819.8342979997</v>
      </c>
      <c r="Q21">
        <v>6735347.5565379998</v>
      </c>
      <c r="R21">
        <v>6647875.7480149996</v>
      </c>
      <c r="S21">
        <v>6560403.939491</v>
      </c>
      <c r="T21">
        <v>6472931.6617310001</v>
      </c>
      <c r="U21">
        <v>6385459.3839710001</v>
      </c>
      <c r="V21">
        <v>6297987.5754469996</v>
      </c>
      <c r="W21">
        <v>6297987.5754469996</v>
      </c>
      <c r="X21">
        <v>6297987.5754469996</v>
      </c>
      <c r="Y21">
        <v>6297987.5754469996</v>
      </c>
      <c r="Z21">
        <v>6297987.5754469996</v>
      </c>
      <c r="AA21">
        <v>6297987.5754469996</v>
      </c>
      <c r="AB21">
        <v>6297987.5754469996</v>
      </c>
      <c r="AC21">
        <v>6297987.5754469996</v>
      </c>
      <c r="AD21">
        <v>6297987.5754469996</v>
      </c>
      <c r="AE21">
        <v>6297987.5754469996</v>
      </c>
      <c r="AF21">
        <v>6297987.5754469996</v>
      </c>
      <c r="AG21">
        <v>6297987.5754469996</v>
      </c>
      <c r="AH21">
        <v>6297987.5754469996</v>
      </c>
      <c r="AK21" s="3" t="str">
        <f ca="1">INDIRECT(ADDRESS(21,2))</f>
        <v>Jet Fuel</v>
      </c>
      <c r="AL21" s="3">
        <f ca="1">INDIRECT(ADDRESS(21,3))</f>
        <v>7872484.352</v>
      </c>
      <c r="AM21" s="4">
        <f ca="1">IFERROR(INDIRECT(ADDRESS(21,3)) / INDIRECT(ADDRESS(23,3)),0)</f>
        <v>0.1626459374564708</v>
      </c>
      <c r="AN21" s="3">
        <f ca="1">INDIRECT(ADDRESS(21,9))</f>
        <v>7435123.9016730003</v>
      </c>
      <c r="AO21" s="4">
        <f ca="1">IFERROR(INDIRECT(ADDRESS(21,9)) / INDIRECT(ADDRESS(23,9)),0)</f>
        <v>0.20042121751219757</v>
      </c>
      <c r="AP21" s="4">
        <f ca="1">IFERROR((INDIRECT(ADDRESS(21,9)) - INDIRECT(ADDRESS(21,3)))/ INDIRECT(ADDRESS(21,3)),1)</f>
        <v>-5.5555582046458878E-2</v>
      </c>
      <c r="AQ21" s="3">
        <f ca="1">INDIRECT(ADDRESS(21,14))</f>
        <v>6997763.9205820002</v>
      </c>
      <c r="AR21" s="4">
        <f ca="1">IFERROR(INDIRECT(ADDRESS(21,14)) / INDIRECT(ADDRESS(23,14)),0)</f>
        <v>0.27570239105869038</v>
      </c>
      <c r="AS21" s="4">
        <f ca="1">IFERROR((INDIRECT(ADDRESS(21,14)) - INDIRECT(ADDRESS(21,3)))/ INDIRECT(ADDRESS(21,3)),1)</f>
        <v>-0.11111110448835348</v>
      </c>
      <c r="AT21" s="3">
        <f ca="1">INDIRECT(ADDRESS(21,19))</f>
        <v>6560403.939491</v>
      </c>
      <c r="AU21" s="4">
        <f ca="1">IFERROR(INDIRECT(ADDRESS(21,19)) / INDIRECT(ADDRESS(23,19)),0)</f>
        <v>0.38551556058217962</v>
      </c>
      <c r="AV21" s="4">
        <f ca="1">IFERROR((INDIRECT(ADDRESS(21,19)) - INDIRECT(ADDRESS(21,3)))/ INDIRECT(ADDRESS(21,3)),1)</f>
        <v>-0.16666662693024809</v>
      </c>
      <c r="AW21" s="3">
        <f ca="1">INDIRECT(ADDRESS(21,24))</f>
        <v>6297987.5754469996</v>
      </c>
      <c r="AX21" s="4">
        <f ca="1">IFERROR(INDIRECT(ADDRESS(21,24)) / INDIRECT(ADDRESS(23,24)),0)</f>
        <v>0.50417640854885759</v>
      </c>
      <c r="AY21" s="4">
        <f ca="1">IFERROR((INDIRECT(ADDRESS(21,24)) - INDIRECT(ADDRESS(21,3)))/ INDIRECT(ADDRESS(21,3)),1)</f>
        <v>-0.19999998807911257</v>
      </c>
      <c r="AZ21" s="3">
        <f ca="1">INDIRECT(ADDRESS(21,29))</f>
        <v>6297987.5754469996</v>
      </c>
      <c r="BA21" s="4">
        <f ca="1">IFERROR(INDIRECT(ADDRESS(21,29)) / INDIRECT(ADDRESS(23,29)),0)</f>
        <v>0.61033121876213337</v>
      </c>
      <c r="BB21" s="4">
        <f ca="1">IFERROR((INDIRECT(ADDRESS(21,29)) - INDIRECT(ADDRESS(21,3)))/ INDIRECT(ADDRESS(21,3)),1)</f>
        <v>-0.19999998807911257</v>
      </c>
      <c r="BC21" s="3">
        <f ca="1">INDIRECT(ADDRESS(21,34))</f>
        <v>6297987.5754469996</v>
      </c>
      <c r="BD21" s="4">
        <f ca="1">IFERROR(INDIRECT(ADDRESS(21,34)) / INDIRECT(ADDRESS(23,34)),0)</f>
        <v>0.68368295528639877</v>
      </c>
      <c r="BE21" s="4">
        <f ca="1">IFERROR((INDIRECT(ADDRESS(21,34)) - INDIRECT(ADDRESS(21,3)))/ INDIRECT(ADDRESS(21,3)),1)</f>
        <v>-0.19999998807911257</v>
      </c>
    </row>
    <row r="22" spans="1:57" x14ac:dyDescent="0.25">
      <c r="A22" s="5"/>
      <c r="B22" s="1" t="s">
        <v>46</v>
      </c>
      <c r="C22">
        <v>10900.915784000001</v>
      </c>
      <c r="D22">
        <v>31307.661317999999</v>
      </c>
      <c r="E22">
        <v>139322.18994099999</v>
      </c>
      <c r="F22">
        <v>237640.44772600001</v>
      </c>
      <c r="G22">
        <v>326565.80865199998</v>
      </c>
      <c r="H22">
        <v>406421.953729</v>
      </c>
      <c r="I22">
        <v>477948.80478599999</v>
      </c>
      <c r="J22">
        <v>539102.99585900002</v>
      </c>
      <c r="K22">
        <v>592014.75495900004</v>
      </c>
      <c r="L22">
        <v>638201.36627300002</v>
      </c>
      <c r="M22">
        <v>678298.70392800006</v>
      </c>
      <c r="N22">
        <v>712964.062836</v>
      </c>
      <c r="O22">
        <v>741997.58019500005</v>
      </c>
      <c r="P22">
        <v>766196.49908899993</v>
      </c>
      <c r="Q22">
        <v>785637.77331199998</v>
      </c>
      <c r="R22">
        <v>800332.65006100002</v>
      </c>
      <c r="S22">
        <v>810285.42703300004</v>
      </c>
      <c r="T22">
        <v>774593.13500599994</v>
      </c>
      <c r="U22">
        <v>738904.10432099993</v>
      </c>
      <c r="V22">
        <v>703089.04174799996</v>
      </c>
      <c r="W22">
        <v>667132.61156800005</v>
      </c>
      <c r="X22">
        <v>630829.05881299998</v>
      </c>
      <c r="Y22">
        <v>593773.59024300007</v>
      </c>
      <c r="Z22">
        <v>556241.78553300002</v>
      </c>
      <c r="AA22">
        <v>518179.67713600001</v>
      </c>
      <c r="AB22">
        <v>479541.70474100002</v>
      </c>
      <c r="AC22">
        <v>440296.50350599998</v>
      </c>
      <c r="AD22">
        <v>400570.39067599998</v>
      </c>
      <c r="AE22">
        <v>360186.33691299998</v>
      </c>
      <c r="AF22">
        <v>319148.15315600001</v>
      </c>
      <c r="AG22">
        <v>277464.607174</v>
      </c>
      <c r="AH22">
        <v>235146.89663500001</v>
      </c>
      <c r="AK22" s="3" t="str">
        <f ca="1">INDIRECT(ADDRESS(22,2))</f>
        <v>Natural Gas</v>
      </c>
      <c r="AL22" s="3">
        <f ca="1">INDIRECT(ADDRESS(22,3))</f>
        <v>10900.915784000001</v>
      </c>
      <c r="AM22" s="4">
        <f ca="1">IFERROR(INDIRECT(ADDRESS(22,3)) / INDIRECT(ADDRESS(23,3)),0)</f>
        <v>2.2521348884895433E-4</v>
      </c>
      <c r="AN22" s="3">
        <f ca="1">INDIRECT(ADDRESS(22,9))</f>
        <v>477948.80478599999</v>
      </c>
      <c r="AO22" s="4">
        <f ca="1">IFERROR(INDIRECT(ADDRESS(22,9)) / INDIRECT(ADDRESS(23,9)),0)</f>
        <v>1.2883589114386583E-2</v>
      </c>
      <c r="AP22" s="4">
        <f ca="1">IFERROR((INDIRECT(ADDRESS(22,9)) - INDIRECT(ADDRESS(22,3)))/ INDIRECT(ADDRESS(22,3)),1)</f>
        <v>42.844830494655987</v>
      </c>
      <c r="AQ22" s="3">
        <f ca="1">INDIRECT(ADDRESS(22,14))</f>
        <v>712964.062836</v>
      </c>
      <c r="AR22" s="4">
        <f ca="1">IFERROR(INDIRECT(ADDRESS(22,14)) / INDIRECT(ADDRESS(23,14)),0)</f>
        <v>2.8089815417273366E-2</v>
      </c>
      <c r="AS22" s="4">
        <f ca="1">IFERROR((INDIRECT(ADDRESS(22,14)) - INDIRECT(ADDRESS(22,3)))/ INDIRECT(ADDRESS(22,3)),1)</f>
        <v>64.404052004737508</v>
      </c>
      <c r="AT22" s="3">
        <f ca="1">INDIRECT(ADDRESS(22,19))</f>
        <v>810285.42703300004</v>
      </c>
      <c r="AU22" s="4">
        <f ca="1">IFERROR(INDIRECT(ADDRESS(22,19)) / INDIRECT(ADDRESS(23,19)),0)</f>
        <v>4.7615610793995435E-2</v>
      </c>
      <c r="AV22" s="4">
        <f ca="1">IFERROR((INDIRECT(ADDRESS(22,19)) - INDIRECT(ADDRESS(22,3)))/ INDIRECT(ADDRESS(22,3)),1)</f>
        <v>73.331867440193406</v>
      </c>
      <c r="AW22" s="3">
        <f ca="1">INDIRECT(ADDRESS(22,24))</f>
        <v>630829.05881299998</v>
      </c>
      <c r="AX22" s="4">
        <f ca="1">IFERROR(INDIRECT(ADDRESS(22,24)) / INDIRECT(ADDRESS(23,24)),0)</f>
        <v>5.0500120152749087E-2</v>
      </c>
      <c r="AY22" s="4">
        <f ca="1">IFERROR((INDIRECT(ADDRESS(22,24)) - INDIRECT(ADDRESS(22,3)))/ INDIRECT(ADDRESS(22,3)),1)</f>
        <v>56.869363575756616</v>
      </c>
      <c r="AZ22" s="3">
        <f ca="1">INDIRECT(ADDRESS(22,29))</f>
        <v>440296.50350599998</v>
      </c>
      <c r="BA22" s="4">
        <f ca="1">IFERROR(INDIRECT(ADDRESS(22,29)) / INDIRECT(ADDRESS(23,29)),0)</f>
        <v>4.2668661756203922E-2</v>
      </c>
      <c r="BB22" s="4">
        <f ca="1">IFERROR((INDIRECT(ADDRESS(22,29)) - INDIRECT(ADDRESS(22,3)))/ INDIRECT(ADDRESS(22,3)),1)</f>
        <v>39.390781126137348</v>
      </c>
      <c r="BC22" s="3">
        <f ca="1">INDIRECT(ADDRESS(22,34))</f>
        <v>235146.89663500001</v>
      </c>
      <c r="BD22" s="4">
        <f ca="1">IFERROR(INDIRECT(ADDRESS(22,34)) / INDIRECT(ADDRESS(23,34)),0)</f>
        <v>2.5526554838659201E-2</v>
      </c>
      <c r="BE22" s="4">
        <f ca="1">IFERROR((INDIRECT(ADDRESS(22,34)) - INDIRECT(ADDRESS(22,3)))/ INDIRECT(ADDRESS(22,3)),1)</f>
        <v>20.571297429904078</v>
      </c>
    </row>
    <row r="23" spans="1:57" x14ac:dyDescent="0.25">
      <c r="A23" s="1" t="s">
        <v>21</v>
      </c>
      <c r="B23" s="1"/>
      <c r="C23">
        <v>48402588.316151001</v>
      </c>
      <c r="D23">
        <v>47684410.857943989</v>
      </c>
      <c r="E23">
        <v>45972431.488372996</v>
      </c>
      <c r="F23">
        <v>44082285.326485001</v>
      </c>
      <c r="G23">
        <v>42283146.960830003</v>
      </c>
      <c r="H23">
        <v>40114476.184306003</v>
      </c>
      <c r="I23">
        <v>37097488.948347002</v>
      </c>
      <c r="J23">
        <v>34741906.992462002</v>
      </c>
      <c r="K23">
        <v>32315733.241462</v>
      </c>
      <c r="L23">
        <v>29871818.080673002</v>
      </c>
      <c r="M23">
        <v>27511250.169123001</v>
      </c>
      <c r="N23">
        <v>25381585.896701001</v>
      </c>
      <c r="O23">
        <v>23496561.666869</v>
      </c>
      <c r="P23">
        <v>21792690.782763001</v>
      </c>
      <c r="Q23">
        <v>20194434.054933</v>
      </c>
      <c r="R23">
        <v>18510870.683389001</v>
      </c>
      <c r="S23">
        <v>17017222.157217</v>
      </c>
      <c r="T23">
        <v>15974814.610569</v>
      </c>
      <c r="U23">
        <v>14940717.209171999</v>
      </c>
      <c r="V23">
        <v>13948437.461154999</v>
      </c>
      <c r="W23">
        <v>13192193.367798001</v>
      </c>
      <c r="X23">
        <v>12491634.810074</v>
      </c>
      <c r="Y23">
        <v>11972629.517793</v>
      </c>
      <c r="Z23">
        <v>11489094.955050001</v>
      </c>
      <c r="AA23">
        <v>11051667.72487</v>
      </c>
      <c r="AB23">
        <v>10662871.660877001</v>
      </c>
      <c r="AC23">
        <v>10318966.786953</v>
      </c>
      <c r="AD23">
        <v>10034558.305865999</v>
      </c>
      <c r="AE23">
        <v>9788014.102062</v>
      </c>
      <c r="AF23">
        <v>9573531.3974399995</v>
      </c>
      <c r="AG23">
        <v>9384204.070923999</v>
      </c>
      <c r="AH23">
        <v>9211854.0132519994</v>
      </c>
    </row>
    <row r="24" spans="1:57" x14ac:dyDescent="0.25">
      <c r="A24" s="5" t="s">
        <v>6</v>
      </c>
      <c r="B24" s="1" t="s">
        <v>41</v>
      </c>
      <c r="C24">
        <v>16213787.265347</v>
      </c>
      <c r="D24">
        <v>15531021.755192</v>
      </c>
      <c r="E24">
        <v>14818262.868488999</v>
      </c>
      <c r="F24">
        <v>14088079.797666</v>
      </c>
      <c r="G24">
        <v>13373052.170359001</v>
      </c>
      <c r="H24">
        <v>12528839.470874</v>
      </c>
      <c r="I24">
        <v>11750046.127835</v>
      </c>
      <c r="J24">
        <v>10923793.472943</v>
      </c>
      <c r="K24">
        <v>10137826.048010999</v>
      </c>
      <c r="L24">
        <v>9372473.1312189996</v>
      </c>
      <c r="M24">
        <v>8628279.5278999992</v>
      </c>
      <c r="N24">
        <v>7917861.3619139995</v>
      </c>
      <c r="O24">
        <v>7235564.9679199997</v>
      </c>
      <c r="P24">
        <v>6584523.6254169997</v>
      </c>
      <c r="Q24">
        <v>5951586.3310099998</v>
      </c>
      <c r="R24">
        <v>5324068.8109499998</v>
      </c>
      <c r="S24">
        <v>4732364.2953940006</v>
      </c>
      <c r="T24">
        <v>4407525.6759230001</v>
      </c>
      <c r="U24">
        <v>4088348.9270120002</v>
      </c>
      <c r="V24">
        <v>3778516.763572</v>
      </c>
      <c r="W24">
        <v>3529888.5391799998</v>
      </c>
      <c r="X24">
        <v>3287976.015588</v>
      </c>
      <c r="Y24">
        <v>3185261.4769580001</v>
      </c>
      <c r="Z24">
        <v>3087191.413780001</v>
      </c>
      <c r="AA24">
        <v>2994912.8888920001</v>
      </c>
      <c r="AB24">
        <v>2908653.57063</v>
      </c>
      <c r="AC24">
        <v>2827993.6287750001</v>
      </c>
      <c r="AD24">
        <v>2752520.5133659998</v>
      </c>
      <c r="AE24">
        <v>2681628.98728</v>
      </c>
      <c r="AF24">
        <v>2614682.5263060001</v>
      </c>
      <c r="AG24">
        <v>2550913.961995</v>
      </c>
      <c r="AH24">
        <v>2489451.1468270002</v>
      </c>
      <c r="AK24" s="3" t="str">
        <f ca="1">INDIRECT(ADDRESS(24,2))</f>
        <v>Diesel</v>
      </c>
      <c r="AL24" s="3">
        <f ca="1">INDIRECT(ADDRESS(24,3))</f>
        <v>16213787.265347</v>
      </c>
      <c r="AM24" s="4">
        <f ca="1">IFERROR(INDIRECT(ADDRESS(24,3)) / INDIRECT(ADDRESS(29,3)),0)</f>
        <v>0.33497769085081708</v>
      </c>
      <c r="AN24" s="3">
        <f ca="1">INDIRECT(ADDRESS(24,9))</f>
        <v>11750046.127835</v>
      </c>
      <c r="AO24" s="4">
        <f ca="1">IFERROR(INDIRECT(ADDRESS(24,9)) / INDIRECT(ADDRESS(29,9)),0)</f>
        <v>0.31684863285528497</v>
      </c>
      <c r="AP24" s="4">
        <f ca="1">IFERROR((INDIRECT(ADDRESS(24,9)) - INDIRECT(ADDRESS(24,3)))/ INDIRECT(ADDRESS(24,3)),1)</f>
        <v>-0.27530527349721395</v>
      </c>
      <c r="AQ24" s="3">
        <f ca="1">INDIRECT(ADDRESS(24,14))</f>
        <v>7917861.3619139995</v>
      </c>
      <c r="AR24" s="4">
        <f ca="1">IFERROR(INDIRECT(ADDRESS(24,14)) / INDIRECT(ADDRESS(29,14)),0)</f>
        <v>0.31230037411083322</v>
      </c>
      <c r="AS24" s="4">
        <f ca="1">IFERROR((INDIRECT(ADDRESS(24,14)) - INDIRECT(ADDRESS(24,3)))/ INDIRECT(ADDRESS(24,3)),1)</f>
        <v>-0.51165873633753112</v>
      </c>
      <c r="AT24" s="3">
        <f ca="1">INDIRECT(ADDRESS(24,19))</f>
        <v>4732364.2953940006</v>
      </c>
      <c r="AU24" s="4">
        <f ca="1">IFERROR(INDIRECT(ADDRESS(24,19)) / INDIRECT(ADDRESS(29,19)),0)</f>
        <v>0.27882431626808646</v>
      </c>
      <c r="AV24" s="4">
        <f ca="1">IFERROR((INDIRECT(ADDRESS(24,19)) - INDIRECT(ADDRESS(24,3)))/ INDIRECT(ADDRESS(24,3)),1)</f>
        <v>-0.70812715018728112</v>
      </c>
      <c r="AW24" s="3">
        <f ca="1">INDIRECT(ADDRESS(24,24))</f>
        <v>3287976.015588</v>
      </c>
      <c r="AX24" s="4">
        <f ca="1">IFERROR(INDIRECT(ADDRESS(24,24)) / INDIRECT(ADDRESS(29,24)),0)</f>
        <v>0.26363818149534779</v>
      </c>
      <c r="AY24" s="4">
        <f ca="1">IFERROR((INDIRECT(ADDRESS(24,24)) - INDIRECT(ADDRESS(24,3)))/ INDIRECT(ADDRESS(24,3)),1)</f>
        <v>-0.79721110424242192</v>
      </c>
      <c r="AZ24" s="3">
        <f ca="1">INDIRECT(ADDRESS(24,29))</f>
        <v>2827993.6287750001</v>
      </c>
      <c r="BA24" s="4">
        <f ca="1">IFERROR(INDIRECT(ADDRESS(24,29)) / INDIRECT(ADDRESS(29,29)),0)</f>
        <v>0.27336114673984513</v>
      </c>
      <c r="BB24" s="4">
        <f ca="1">IFERROR((INDIRECT(ADDRESS(24,29)) - INDIRECT(ADDRESS(24,3)))/ INDIRECT(ADDRESS(24,3)),1)</f>
        <v>-0.82558093414614209</v>
      </c>
      <c r="BC24" s="3">
        <f ca="1">INDIRECT(ADDRESS(24,34))</f>
        <v>2489451.1468270002</v>
      </c>
      <c r="BD24" s="4">
        <f ca="1">IFERROR(INDIRECT(ADDRESS(24,34)) / INDIRECT(ADDRESS(29,34)),0)</f>
        <v>0.26948256011124139</v>
      </c>
      <c r="BE24" s="4">
        <f ca="1">IFERROR((INDIRECT(ADDRESS(24,34)) - INDIRECT(ADDRESS(24,3)))/ INDIRECT(ADDRESS(24,3)),1)</f>
        <v>-0.84646084803717681</v>
      </c>
    </row>
    <row r="25" spans="1:57" x14ac:dyDescent="0.25">
      <c r="A25" s="5"/>
      <c r="B25" s="1" t="s">
        <v>127</v>
      </c>
      <c r="C25">
        <v>24286308.891982999</v>
      </c>
      <c r="D25">
        <v>24217943.462678999</v>
      </c>
      <c r="E25">
        <v>23166377.845747001</v>
      </c>
      <c r="F25">
        <v>21963035.646635</v>
      </c>
      <c r="G25">
        <v>20837067.970493</v>
      </c>
      <c r="H25">
        <v>19453875.419456001</v>
      </c>
      <c r="I25">
        <v>17345272.325438</v>
      </c>
      <c r="J25">
        <v>15824554.883357</v>
      </c>
      <c r="K25">
        <v>14200709.704685999</v>
      </c>
      <c r="L25">
        <v>12547848.453841999</v>
      </c>
      <c r="M25">
        <v>10970821.588680999</v>
      </c>
      <c r="N25">
        <v>9602140.3985329997</v>
      </c>
      <c r="O25">
        <v>8439760.0416030008</v>
      </c>
      <c r="P25">
        <v>7435526.5616680002</v>
      </c>
      <c r="Q25">
        <v>6526361.2518730015</v>
      </c>
      <c r="R25">
        <v>5532053.8401549999</v>
      </c>
      <c r="S25">
        <v>4700136.9926760001</v>
      </c>
      <c r="T25">
        <v>4104682.559711</v>
      </c>
      <c r="U25">
        <v>3513065.8818410002</v>
      </c>
      <c r="V25">
        <v>2955846.9927139999</v>
      </c>
      <c r="W25">
        <v>2488008.96942</v>
      </c>
      <c r="X25">
        <v>2071096.377749</v>
      </c>
      <c r="Y25">
        <v>1698902.039568</v>
      </c>
      <c r="Z25">
        <v>1360282.0945969999</v>
      </c>
      <c r="AA25">
        <v>1064795.5231639999</v>
      </c>
      <c r="AB25">
        <v>814465.20001000003</v>
      </c>
      <c r="AC25">
        <v>606112.20495499996</v>
      </c>
      <c r="AD25">
        <v>435967.40049099998</v>
      </c>
      <c r="AE25">
        <v>300082.681706</v>
      </c>
      <c r="AF25">
        <v>193213.485739</v>
      </c>
      <c r="AG25">
        <v>109065.75738900001</v>
      </c>
      <c r="AH25">
        <v>40572.458707999998</v>
      </c>
      <c r="AK25" s="3" t="str">
        <f ca="1">INDIRECT(ADDRESS(25,2))</f>
        <v>Gas</v>
      </c>
      <c r="AL25" s="3">
        <f ca="1">INDIRECT(ADDRESS(25,3))</f>
        <v>24286308.891982999</v>
      </c>
      <c r="AM25" s="4">
        <f ca="1">IFERROR(INDIRECT(ADDRESS(25,3)) / INDIRECT(ADDRESS(29,3)),0)</f>
        <v>0.50175640883814332</v>
      </c>
      <c r="AN25" s="3">
        <f ca="1">INDIRECT(ADDRESS(25,9))</f>
        <v>17345272.325438</v>
      </c>
      <c r="AO25" s="4">
        <f ca="1">IFERROR(INDIRECT(ADDRESS(25,9)) / INDIRECT(ADDRESS(29,9)),0)</f>
        <v>0.46772802106694977</v>
      </c>
      <c r="AP25" s="4">
        <f ca="1">IFERROR((INDIRECT(ADDRESS(25,9)) - INDIRECT(ADDRESS(25,3)))/ INDIRECT(ADDRESS(25,3)),1)</f>
        <v>-0.28580039055816592</v>
      </c>
      <c r="AQ25" s="3">
        <f ca="1">INDIRECT(ADDRESS(25,14))</f>
        <v>9602140.3985329997</v>
      </c>
      <c r="AR25" s="4">
        <f ca="1">IFERROR(INDIRECT(ADDRESS(25,14)) / INDIRECT(ADDRESS(29,14)),0)</f>
        <v>0.3787325771010604</v>
      </c>
      <c r="AS25" s="4">
        <f ca="1">IFERROR((INDIRECT(ADDRESS(25,14)) - INDIRECT(ADDRESS(25,3)))/ INDIRECT(ADDRESS(25,3)),1)</f>
        <v>-0.60462742851373752</v>
      </c>
      <c r="AT25" s="3">
        <f ca="1">INDIRECT(ADDRESS(25,19))</f>
        <v>4700136.9926760001</v>
      </c>
      <c r="AU25" s="4">
        <f ca="1">IFERROR(INDIRECT(ADDRESS(25,19)) / INDIRECT(ADDRESS(29,19)),0)</f>
        <v>0.27692552845619778</v>
      </c>
      <c r="AV25" s="4">
        <f ca="1">IFERROR((INDIRECT(ADDRESS(25,19)) - INDIRECT(ADDRESS(25,3)))/ INDIRECT(ADDRESS(25,3)),1)</f>
        <v>-0.80646968571549649</v>
      </c>
      <c r="AW25" s="3">
        <f ca="1">INDIRECT(ADDRESS(25,24))</f>
        <v>2071096.377749</v>
      </c>
      <c r="AX25" s="4">
        <f ca="1">IFERROR(INDIRECT(ADDRESS(25,24)) / INDIRECT(ADDRESS(29,24)),0)</f>
        <v>0.16606571341844217</v>
      </c>
      <c r="AY25" s="4">
        <f ca="1">IFERROR((INDIRECT(ADDRESS(25,24)) - INDIRECT(ADDRESS(25,3)))/ INDIRECT(ADDRESS(25,3)),1)</f>
        <v>-0.91472164885324847</v>
      </c>
      <c r="AZ25" s="3">
        <f ca="1">INDIRECT(ADDRESS(25,29))</f>
        <v>606112.20495499996</v>
      </c>
      <c r="BA25" s="4">
        <f ca="1">IFERROR(INDIRECT(ADDRESS(25,29)) / INDIRECT(ADDRESS(29,29)),0)</f>
        <v>5.8588366576796558E-2</v>
      </c>
      <c r="BB25" s="4">
        <f ca="1">IFERROR((INDIRECT(ADDRESS(25,29)) - INDIRECT(ADDRESS(25,3)))/ INDIRECT(ADDRESS(25,3)),1)</f>
        <v>-0.97504304966016964</v>
      </c>
      <c r="BC25" s="3">
        <f ca="1">INDIRECT(ADDRESS(25,34))</f>
        <v>40572.458707999998</v>
      </c>
      <c r="BD25" s="4">
        <f ca="1">IFERROR(INDIRECT(ADDRESS(25,34)) / INDIRECT(ADDRESS(29,34)),0)</f>
        <v>4.3919600738400342E-3</v>
      </c>
      <c r="BE25" s="4">
        <f ca="1">IFERROR((INDIRECT(ADDRESS(25,34)) - INDIRECT(ADDRESS(25,3)))/ INDIRECT(ADDRESS(25,3)),1)</f>
        <v>-0.99832941024968214</v>
      </c>
    </row>
    <row r="26" spans="1:57" x14ac:dyDescent="0.25">
      <c r="A26" s="5"/>
      <c r="B26" s="1" t="s">
        <v>44</v>
      </c>
      <c r="C26">
        <v>19106.891037000001</v>
      </c>
      <c r="D26">
        <v>31653.626755000001</v>
      </c>
      <c r="E26">
        <v>63456.509956000002</v>
      </c>
      <c r="F26">
        <v>95989.168741999994</v>
      </c>
      <c r="G26">
        <v>134893.68056499999</v>
      </c>
      <c r="H26">
        <v>199413.33764400001</v>
      </c>
      <c r="I26">
        <v>75708.026524000001</v>
      </c>
      <c r="J26">
        <v>87258.042801000003</v>
      </c>
      <c r="K26">
        <v>99139.620261999997</v>
      </c>
      <c r="L26">
        <v>109554.36437</v>
      </c>
      <c r="M26">
        <v>116264.84927799999</v>
      </c>
      <c r="N26">
        <v>122622.40775300001</v>
      </c>
      <c r="O26">
        <v>136176.119523</v>
      </c>
      <c r="P26">
        <v>146869.759659</v>
      </c>
      <c r="Q26">
        <v>155356.917182</v>
      </c>
      <c r="R26">
        <v>163323.46541100001</v>
      </c>
      <c r="S26">
        <v>169376.00936900001</v>
      </c>
      <c r="T26">
        <v>173589.95028200001</v>
      </c>
      <c r="U26">
        <v>177327.61726200001</v>
      </c>
      <c r="V26">
        <v>180142.33377600001</v>
      </c>
      <c r="W26">
        <v>182049.10342</v>
      </c>
      <c r="X26">
        <v>183658.13957999999</v>
      </c>
      <c r="Y26">
        <v>185331.90588000001</v>
      </c>
      <c r="Z26">
        <v>185174.31303300001</v>
      </c>
      <c r="AA26">
        <v>183002.95858499999</v>
      </c>
      <c r="AB26">
        <v>179067.77634899999</v>
      </c>
      <c r="AC26">
        <v>172875.544761</v>
      </c>
      <c r="AD26">
        <v>173809.509277</v>
      </c>
      <c r="AE26">
        <v>174391.57238500001</v>
      </c>
      <c r="AF26">
        <v>174707.19261900001</v>
      </c>
      <c r="AG26">
        <v>175015.22758899999</v>
      </c>
      <c r="AH26">
        <v>174735.26063599999</v>
      </c>
      <c r="AK26" s="3" t="str">
        <f ca="1">INDIRECT(ADDRESS(26,2))</f>
        <v>Grid Electricity</v>
      </c>
      <c r="AL26" s="3">
        <f ca="1">INDIRECT(ADDRESS(26,3))</f>
        <v>19106.891037000001</v>
      </c>
      <c r="AM26" s="4">
        <f ca="1">IFERROR(INDIRECT(ADDRESS(26,3)) / INDIRECT(ADDRESS(29,3)),0)</f>
        <v>3.9474936571985768E-4</v>
      </c>
      <c r="AN26" s="3">
        <f ca="1">INDIRECT(ADDRESS(26,9))</f>
        <v>75708.026524000001</v>
      </c>
      <c r="AO26" s="4">
        <f ca="1">IFERROR(INDIRECT(ADDRESS(26,9)) / INDIRECT(ADDRESS(29,9)),0)</f>
        <v>2.0415225982368932E-3</v>
      </c>
      <c r="AP26" s="4">
        <f ca="1">IFERROR((INDIRECT(ADDRESS(26,9)) - INDIRECT(ADDRESS(26,3)))/ INDIRECT(ADDRESS(26,3)),1)</f>
        <v>2.9623414598111939</v>
      </c>
      <c r="AQ26" s="3">
        <f ca="1">INDIRECT(ADDRESS(26,14))</f>
        <v>122622.40775300001</v>
      </c>
      <c r="AR26" s="4">
        <f ca="1">IFERROR(INDIRECT(ADDRESS(26,14)) / INDIRECT(ADDRESS(29,14)),0)</f>
        <v>4.8365362899428074E-3</v>
      </c>
      <c r="AS26" s="4">
        <f ca="1">IFERROR((INDIRECT(ADDRESS(26,14)) - INDIRECT(ADDRESS(26,3)))/ INDIRECT(ADDRESS(26,3)),1)</f>
        <v>5.4177059216774142</v>
      </c>
      <c r="AT26" s="3">
        <f ca="1">INDIRECT(ADDRESS(26,19))</f>
        <v>169376.00936900001</v>
      </c>
      <c r="AU26" s="4">
        <f ca="1">IFERROR(INDIRECT(ADDRESS(26,19)) / INDIRECT(ADDRESS(29,19)),0)</f>
        <v>9.9793986803791788E-3</v>
      </c>
      <c r="AV26" s="4">
        <f ca="1">IFERROR((INDIRECT(ADDRESS(26,19)) - INDIRECT(ADDRESS(26,3)))/ INDIRECT(ADDRESS(26,3)),1)</f>
        <v>7.864655638691179</v>
      </c>
      <c r="AW26" s="3">
        <f ca="1">INDIRECT(ADDRESS(26,24))</f>
        <v>183658.13957999999</v>
      </c>
      <c r="AX26" s="4">
        <f ca="1">IFERROR(INDIRECT(ADDRESS(26,24)) / INDIRECT(ADDRESS(29,24)),0)</f>
        <v>1.4726171269540409E-2</v>
      </c>
      <c r="AY26" s="4">
        <f ca="1">IFERROR((INDIRECT(ADDRESS(26,24)) - INDIRECT(ADDRESS(26,3)))/ INDIRECT(ADDRESS(26,3)),1)</f>
        <v>8.6121414637447167</v>
      </c>
      <c r="AZ26" s="3">
        <f ca="1">INDIRECT(ADDRESS(26,29))</f>
        <v>172875.544761</v>
      </c>
      <c r="BA26" s="4">
        <f ca="1">IFERROR(INDIRECT(ADDRESS(26,29)) / INDIRECT(ADDRESS(29,29)),0)</f>
        <v>1.6710595341621354E-2</v>
      </c>
      <c r="BB26" s="4">
        <f ca="1">IFERROR((INDIRECT(ADDRESS(26,29)) - INDIRECT(ADDRESS(26,3)))/ INDIRECT(ADDRESS(26,3)),1)</f>
        <v>8.0478113067286028</v>
      </c>
      <c r="BC26" s="3">
        <f ca="1">INDIRECT(ADDRESS(26,34))</f>
        <v>174735.26063599999</v>
      </c>
      <c r="BD26" s="4">
        <f ca="1">IFERROR(INDIRECT(ADDRESS(26,34)) / INDIRECT(ADDRESS(29,34)),0)</f>
        <v>1.8915055006366269E-2</v>
      </c>
      <c r="BE26" s="4">
        <f ca="1">IFERROR((INDIRECT(ADDRESS(26,34)) - INDIRECT(ADDRESS(26,3)))/ INDIRECT(ADDRESS(26,3)),1)</f>
        <v>8.1451435138050279</v>
      </c>
    </row>
    <row r="27" spans="1:57" x14ac:dyDescent="0.25">
      <c r="A27" s="5"/>
      <c r="B27" s="1" t="s">
        <v>45</v>
      </c>
      <c r="C27">
        <v>7872484.352</v>
      </c>
      <c r="D27">
        <v>7872484.352</v>
      </c>
      <c r="E27">
        <v>7785012.07424</v>
      </c>
      <c r="F27">
        <v>7697540.2657160005</v>
      </c>
      <c r="G27">
        <v>7610068.4571930002</v>
      </c>
      <c r="H27">
        <v>7522596.1794330003</v>
      </c>
      <c r="I27">
        <v>7435123.9016730003</v>
      </c>
      <c r="J27">
        <v>7347652.0931489998</v>
      </c>
      <c r="K27">
        <v>7260180.2846259996</v>
      </c>
      <c r="L27">
        <v>7172708.0068650004</v>
      </c>
      <c r="M27">
        <v>7085235.7291050004</v>
      </c>
      <c r="N27">
        <v>6997763.9205820002</v>
      </c>
      <c r="O27">
        <v>6910292.1120579997</v>
      </c>
      <c r="P27">
        <v>6822819.8342979997</v>
      </c>
      <c r="Q27">
        <v>6735347.5565379998</v>
      </c>
      <c r="R27">
        <v>6647875.7480149996</v>
      </c>
      <c r="S27">
        <v>6560403.939491</v>
      </c>
      <c r="T27">
        <v>6472931.6617310001</v>
      </c>
      <c r="U27">
        <v>6385459.3839710001</v>
      </c>
      <c r="V27">
        <v>6297987.5754469996</v>
      </c>
      <c r="W27">
        <v>6297987.5754469996</v>
      </c>
      <c r="X27">
        <v>6297987.5754469996</v>
      </c>
      <c r="Y27">
        <v>6297987.5754469996</v>
      </c>
      <c r="Z27">
        <v>6297987.5754469996</v>
      </c>
      <c r="AA27">
        <v>6297987.5754469996</v>
      </c>
      <c r="AB27">
        <v>6297987.5754469996</v>
      </c>
      <c r="AC27">
        <v>6297987.5754469996</v>
      </c>
      <c r="AD27">
        <v>6297987.5754469996</v>
      </c>
      <c r="AE27">
        <v>6297987.5754469996</v>
      </c>
      <c r="AF27">
        <v>6297987.5754469996</v>
      </c>
      <c r="AG27">
        <v>6297987.5754469996</v>
      </c>
      <c r="AH27">
        <v>6297987.5754469996</v>
      </c>
      <c r="AK27" s="3" t="str">
        <f ca="1">INDIRECT(ADDRESS(27,2))</f>
        <v>Jet Fuel</v>
      </c>
      <c r="AL27" s="3">
        <f ca="1">INDIRECT(ADDRESS(27,3))</f>
        <v>7872484.352</v>
      </c>
      <c r="AM27" s="4">
        <f ca="1">IFERROR(INDIRECT(ADDRESS(27,3)) / INDIRECT(ADDRESS(29,3)),0)</f>
        <v>0.1626459374564708</v>
      </c>
      <c r="AN27" s="3">
        <f ca="1">INDIRECT(ADDRESS(27,9))</f>
        <v>7435123.9016730003</v>
      </c>
      <c r="AO27" s="4">
        <f ca="1">IFERROR(INDIRECT(ADDRESS(27,9)) / INDIRECT(ADDRESS(29,9)),0)</f>
        <v>0.20049358255488067</v>
      </c>
      <c r="AP27" s="4">
        <f ca="1">IFERROR((INDIRECT(ADDRESS(27,9)) - INDIRECT(ADDRESS(27,3)))/ INDIRECT(ADDRESS(27,3)),1)</f>
        <v>-5.5555582046458878E-2</v>
      </c>
      <c r="AQ27" s="3">
        <f ca="1">INDIRECT(ADDRESS(27,14))</f>
        <v>6997763.9205820002</v>
      </c>
      <c r="AR27" s="4">
        <f ca="1">IFERROR(INDIRECT(ADDRESS(27,14)) / INDIRECT(ADDRESS(29,14)),0)</f>
        <v>0.27600941598310175</v>
      </c>
      <c r="AS27" s="4">
        <f ca="1">IFERROR((INDIRECT(ADDRESS(27,14)) - INDIRECT(ADDRESS(27,3)))/ INDIRECT(ADDRESS(27,3)),1)</f>
        <v>-0.11111110448835348</v>
      </c>
      <c r="AT27" s="3">
        <f ca="1">INDIRECT(ADDRESS(27,19))</f>
        <v>6560403.939491</v>
      </c>
      <c r="AU27" s="4">
        <f ca="1">IFERROR(INDIRECT(ADDRESS(27,19)) / INDIRECT(ADDRESS(29,19)),0)</f>
        <v>0.38652986724868055</v>
      </c>
      <c r="AV27" s="4">
        <f ca="1">IFERROR((INDIRECT(ADDRESS(27,19)) - INDIRECT(ADDRESS(27,3)))/ INDIRECT(ADDRESS(27,3)),1)</f>
        <v>-0.16666662693024809</v>
      </c>
      <c r="AW27" s="3">
        <f ca="1">INDIRECT(ADDRESS(27,24))</f>
        <v>6297987.5754469996</v>
      </c>
      <c r="AX27" s="4">
        <f ca="1">IFERROR(INDIRECT(ADDRESS(27,24)) / INDIRECT(ADDRESS(29,24)),0)</f>
        <v>0.50498847424658244</v>
      </c>
      <c r="AY27" s="4">
        <f ca="1">IFERROR((INDIRECT(ADDRESS(27,24)) - INDIRECT(ADDRESS(27,3)))/ INDIRECT(ADDRESS(27,3)),1)</f>
        <v>-0.19999998807911257</v>
      </c>
      <c r="AZ27" s="3">
        <f ca="1">INDIRECT(ADDRESS(27,29))</f>
        <v>6297987.5754469996</v>
      </c>
      <c r="BA27" s="4">
        <f ca="1">IFERROR(INDIRECT(ADDRESS(27,29)) / INDIRECT(ADDRESS(29,29)),0)</f>
        <v>0.60877969747168204</v>
      </c>
      <c r="BB27" s="4">
        <f ca="1">IFERROR((INDIRECT(ADDRESS(27,29)) - INDIRECT(ADDRESS(27,3)))/ INDIRECT(ADDRESS(27,3)),1)</f>
        <v>-0.19999998807911257</v>
      </c>
      <c r="BC27" s="3">
        <f ca="1">INDIRECT(ADDRESS(27,34))</f>
        <v>6297987.5754469996</v>
      </c>
      <c r="BD27" s="4">
        <f ca="1">IFERROR(INDIRECT(ADDRESS(27,34)) / INDIRECT(ADDRESS(29,34)),0)</f>
        <v>0.68175582298269188</v>
      </c>
      <c r="BE27" s="4">
        <f ca="1">IFERROR((INDIRECT(ADDRESS(27,34)) - INDIRECT(ADDRESS(27,3)))/ INDIRECT(ADDRESS(27,3)),1)</f>
        <v>-0.19999998807911257</v>
      </c>
    </row>
    <row r="28" spans="1:57" x14ac:dyDescent="0.25">
      <c r="A28" s="5"/>
      <c r="B28" s="1" t="s">
        <v>46</v>
      </c>
      <c r="C28">
        <v>10900.915784000001</v>
      </c>
      <c r="D28">
        <v>31307.661317999999</v>
      </c>
      <c r="E28">
        <v>139322.18994099999</v>
      </c>
      <c r="F28">
        <v>237640.44772600001</v>
      </c>
      <c r="G28">
        <v>326565.80865199998</v>
      </c>
      <c r="H28">
        <v>406421.953729</v>
      </c>
      <c r="I28">
        <v>477948.80478599999</v>
      </c>
      <c r="J28">
        <v>539102.99585900002</v>
      </c>
      <c r="K28">
        <v>592014.75495900004</v>
      </c>
      <c r="L28">
        <v>638201.36627300002</v>
      </c>
      <c r="M28">
        <v>678298.70392800006</v>
      </c>
      <c r="N28">
        <v>712964.062836</v>
      </c>
      <c r="O28">
        <v>741997.58019500005</v>
      </c>
      <c r="P28">
        <v>766196.49908899993</v>
      </c>
      <c r="Q28">
        <v>785637.77331199998</v>
      </c>
      <c r="R28">
        <v>800332.65006100002</v>
      </c>
      <c r="S28">
        <v>810285.42703300004</v>
      </c>
      <c r="T28">
        <v>774593.13500599994</v>
      </c>
      <c r="U28">
        <v>738904.10432099993</v>
      </c>
      <c r="V28">
        <v>703089.04174799996</v>
      </c>
      <c r="W28">
        <v>667132.61156800005</v>
      </c>
      <c r="X28">
        <v>630829.05881299998</v>
      </c>
      <c r="Y28">
        <v>593773.59024300007</v>
      </c>
      <c r="Z28">
        <v>556241.78553300002</v>
      </c>
      <c r="AA28">
        <v>518179.67713600001</v>
      </c>
      <c r="AB28">
        <v>479541.70474100002</v>
      </c>
      <c r="AC28">
        <v>440296.50350599998</v>
      </c>
      <c r="AD28">
        <v>400570.39067599998</v>
      </c>
      <c r="AE28">
        <v>360186.33691299998</v>
      </c>
      <c r="AF28">
        <v>319148.15315600001</v>
      </c>
      <c r="AG28">
        <v>277464.607174</v>
      </c>
      <c r="AH28">
        <v>235146.89663500001</v>
      </c>
      <c r="AK28" s="3" t="str">
        <f ca="1">INDIRECT(ADDRESS(28,2))</f>
        <v>Natural Gas</v>
      </c>
      <c r="AL28" s="3">
        <f ca="1">INDIRECT(ADDRESS(28,3))</f>
        <v>10900.915784000001</v>
      </c>
      <c r="AM28" s="4">
        <f ca="1">IFERROR(INDIRECT(ADDRESS(28,3)) / INDIRECT(ADDRESS(29,3)),0)</f>
        <v>2.2521348884895433E-4</v>
      </c>
      <c r="AN28" s="3">
        <f ca="1">INDIRECT(ADDRESS(28,9))</f>
        <v>477948.80478599999</v>
      </c>
      <c r="AO28" s="4">
        <f ca="1">IFERROR(INDIRECT(ADDRESS(28,9)) / INDIRECT(ADDRESS(29,9)),0)</f>
        <v>1.2888240924647725E-2</v>
      </c>
      <c r="AP28" s="4">
        <f ca="1">IFERROR((INDIRECT(ADDRESS(28,9)) - INDIRECT(ADDRESS(28,3)))/ INDIRECT(ADDRESS(28,3)),1)</f>
        <v>42.844830494655987</v>
      </c>
      <c r="AQ28" s="3">
        <f ca="1">INDIRECT(ADDRESS(28,14))</f>
        <v>712964.062836</v>
      </c>
      <c r="AR28" s="4">
        <f ca="1">IFERROR(INDIRECT(ADDRESS(28,14)) / INDIRECT(ADDRESS(29,14)),0)</f>
        <v>2.8121096515061818E-2</v>
      </c>
      <c r="AS28" s="4">
        <f ca="1">IFERROR((INDIRECT(ADDRESS(28,14)) - INDIRECT(ADDRESS(28,3)))/ INDIRECT(ADDRESS(28,3)),1)</f>
        <v>64.404052004737508</v>
      </c>
      <c r="AT28" s="3">
        <f ca="1">INDIRECT(ADDRESS(28,19))</f>
        <v>810285.42703300004</v>
      </c>
      <c r="AU28" s="4">
        <f ca="1">IFERROR(INDIRECT(ADDRESS(28,19)) / INDIRECT(ADDRESS(29,19)),0)</f>
        <v>4.7740889346656004E-2</v>
      </c>
      <c r="AV28" s="4">
        <f ca="1">IFERROR((INDIRECT(ADDRESS(28,19)) - INDIRECT(ADDRESS(28,3)))/ INDIRECT(ADDRESS(28,3)),1)</f>
        <v>73.331867440193406</v>
      </c>
      <c r="AW28" s="3">
        <f ca="1">INDIRECT(ADDRESS(28,24))</f>
        <v>630829.05881299998</v>
      </c>
      <c r="AX28" s="4">
        <f ca="1">IFERROR(INDIRECT(ADDRESS(28,24)) / INDIRECT(ADDRESS(29,24)),0)</f>
        <v>5.0581459570087285E-2</v>
      </c>
      <c r="AY28" s="4">
        <f ca="1">IFERROR((INDIRECT(ADDRESS(28,24)) - INDIRECT(ADDRESS(28,3)))/ INDIRECT(ADDRESS(28,3)),1)</f>
        <v>56.869363575756616</v>
      </c>
      <c r="AZ28" s="3">
        <f ca="1">INDIRECT(ADDRESS(28,29))</f>
        <v>440296.50350599998</v>
      </c>
      <c r="BA28" s="4">
        <f ca="1">IFERROR(INDIRECT(ADDRESS(28,29)) / INDIRECT(ADDRESS(29,29)),0)</f>
        <v>4.2560193870055017E-2</v>
      </c>
      <c r="BB28" s="4">
        <f ca="1">IFERROR((INDIRECT(ADDRESS(28,29)) - INDIRECT(ADDRESS(28,3)))/ INDIRECT(ADDRESS(28,3)),1)</f>
        <v>39.390781126137348</v>
      </c>
      <c r="BC28" s="3">
        <f ca="1">INDIRECT(ADDRESS(28,34))</f>
        <v>235146.89663500001</v>
      </c>
      <c r="BD28" s="4">
        <f ca="1">IFERROR(INDIRECT(ADDRESS(28,34)) / INDIRECT(ADDRESS(29,34)),0)</f>
        <v>2.5454601825860575E-2</v>
      </c>
      <c r="BE28" s="4">
        <f ca="1">IFERROR((INDIRECT(ADDRESS(28,34)) - INDIRECT(ADDRESS(28,3)))/ INDIRECT(ADDRESS(28,3)),1)</f>
        <v>20.571297429904078</v>
      </c>
    </row>
    <row r="29" spans="1:57" x14ac:dyDescent="0.25">
      <c r="A29" s="1" t="s">
        <v>21</v>
      </c>
      <c r="B29" s="1"/>
      <c r="C29">
        <v>48402588.316151001</v>
      </c>
      <c r="D29">
        <v>47684410.857943989</v>
      </c>
      <c r="E29">
        <v>45972431.488372996</v>
      </c>
      <c r="F29">
        <v>44082285.326485001</v>
      </c>
      <c r="G29">
        <v>42281648.087261997</v>
      </c>
      <c r="H29">
        <v>40111146.361135997</v>
      </c>
      <c r="I29">
        <v>37084099.186255999</v>
      </c>
      <c r="J29">
        <v>34722361.488109</v>
      </c>
      <c r="K29">
        <v>32289870.412544001</v>
      </c>
      <c r="L29">
        <v>29840785.322569001</v>
      </c>
      <c r="M29">
        <v>27478900.398892</v>
      </c>
      <c r="N29">
        <v>25353352.151618</v>
      </c>
      <c r="O29">
        <v>23463790.821299002</v>
      </c>
      <c r="P29">
        <v>21755936.280131001</v>
      </c>
      <c r="Q29">
        <v>20154289.829914998</v>
      </c>
      <c r="R29">
        <v>18467654.514591999</v>
      </c>
      <c r="S29">
        <v>16972566.663963001</v>
      </c>
      <c r="T29">
        <v>15933322.982652999</v>
      </c>
      <c r="U29">
        <v>14903105.914407</v>
      </c>
      <c r="V29">
        <v>13915582.707257001</v>
      </c>
      <c r="W29">
        <v>13165066.799035</v>
      </c>
      <c r="X29">
        <v>12471547.167176999</v>
      </c>
      <c r="Y29">
        <v>11961256.588096</v>
      </c>
      <c r="Z29">
        <v>11486877.182390001</v>
      </c>
      <c r="AA29">
        <v>11058878.623224</v>
      </c>
      <c r="AB29">
        <v>10679715.827176999</v>
      </c>
      <c r="AC29">
        <v>10345265.457443999</v>
      </c>
      <c r="AD29">
        <v>10060855.389257001</v>
      </c>
      <c r="AE29">
        <v>9814277.1537309997</v>
      </c>
      <c r="AF29">
        <v>9599738.9332670011</v>
      </c>
      <c r="AG29">
        <v>9410447.1295940001</v>
      </c>
      <c r="AH29">
        <v>9237893.3382529989</v>
      </c>
    </row>
    <row r="30" spans="1:57" x14ac:dyDescent="0.25">
      <c r="A30" s="5" t="s">
        <v>3</v>
      </c>
      <c r="B30" s="1" t="s">
        <v>41</v>
      </c>
      <c r="C30">
        <v>16213787.265347</v>
      </c>
      <c r="D30">
        <v>15531021.755192</v>
      </c>
      <c r="E30">
        <v>15205386.594334001</v>
      </c>
      <c r="F30">
        <v>14842170.687015999</v>
      </c>
      <c r="G30">
        <v>14122210.700129</v>
      </c>
      <c r="H30">
        <v>13408739.366547</v>
      </c>
      <c r="I30">
        <v>12761561.596045</v>
      </c>
      <c r="J30">
        <v>12066744.08921</v>
      </c>
      <c r="K30">
        <v>11413489.320296001</v>
      </c>
      <c r="L30">
        <v>10785555.120748</v>
      </c>
      <c r="M30">
        <v>10184660.742955999</v>
      </c>
      <c r="N30">
        <v>9622386.6497840006</v>
      </c>
      <c r="O30">
        <v>9239758.1206090003</v>
      </c>
      <c r="P30">
        <v>8880365.3094609994</v>
      </c>
      <c r="Q30">
        <v>8533633.761101</v>
      </c>
      <c r="R30">
        <v>8189599.8103870004</v>
      </c>
      <c r="S30">
        <v>7872010.3465360003</v>
      </c>
      <c r="T30">
        <v>7562693.2811079994</v>
      </c>
      <c r="U30">
        <v>7264205.2393999994</v>
      </c>
      <c r="V30">
        <v>6978829.708075</v>
      </c>
      <c r="W30">
        <v>6802549.141357</v>
      </c>
      <c r="X30">
        <v>6636570.4465379994</v>
      </c>
      <c r="Y30">
        <v>6400075.5716589997</v>
      </c>
      <c r="Z30">
        <v>6178079.8283510003</v>
      </c>
      <c r="AA30">
        <v>5970363.7680320004</v>
      </c>
      <c r="AB30">
        <v>5776031.7679740004</v>
      </c>
      <c r="AC30">
        <v>5593899.6722020004</v>
      </c>
      <c r="AD30">
        <v>5423171.7284970004</v>
      </c>
      <c r="AE30">
        <v>5262516.4219599999</v>
      </c>
      <c r="AF30">
        <v>5111098.2096150015</v>
      </c>
      <c r="AG30">
        <v>4968215.5290270001</v>
      </c>
      <c r="AH30">
        <v>4833335.307298</v>
      </c>
      <c r="AK30" s="3" t="str">
        <f ca="1">INDIRECT(ADDRESS(30,2))</f>
        <v>Diesel</v>
      </c>
      <c r="AL30" s="3">
        <f ca="1">INDIRECT(ADDRESS(30,3))</f>
        <v>16213787.265347</v>
      </c>
      <c r="AM30" s="4">
        <f ca="1">IFERROR(INDIRECT(ADDRESS(30,3)) / INDIRECT(ADDRESS(35,3)),0)</f>
        <v>0.33497769085081708</v>
      </c>
      <c r="AN30" s="3">
        <f ca="1">INDIRECT(ADDRESS(30,9))</f>
        <v>12761561.596045</v>
      </c>
      <c r="AO30" s="4">
        <f ca="1">IFERROR(INDIRECT(ADDRESS(30,9)) / INDIRECT(ADDRESS(35,9)),0)</f>
        <v>0.33729148887812499</v>
      </c>
      <c r="AP30" s="4">
        <f ca="1">IFERROR((INDIRECT(ADDRESS(30,9)) - INDIRECT(ADDRESS(30,3)))/ INDIRECT(ADDRESS(30,3)),1)</f>
        <v>-0.21291914176524857</v>
      </c>
      <c r="AQ30" s="3">
        <f ca="1">INDIRECT(ADDRESS(30,14))</f>
        <v>9622386.6497840006</v>
      </c>
      <c r="AR30" s="4">
        <f ca="1">IFERROR(INDIRECT(ADDRESS(30,14)) / INDIRECT(ADDRESS(35,14)),0)</f>
        <v>0.37315665460442865</v>
      </c>
      <c r="AS30" s="4">
        <f ca="1">IFERROR((INDIRECT(ADDRESS(30,14)) - INDIRECT(ADDRESS(30,3)))/ INDIRECT(ADDRESS(30,3)),1)</f>
        <v>-0.40653059693527027</v>
      </c>
      <c r="AT30" s="3">
        <f ca="1">INDIRECT(ADDRESS(30,19))</f>
        <v>7872010.3465360003</v>
      </c>
      <c r="AU30" s="4">
        <f ca="1">IFERROR(INDIRECT(ADDRESS(30,19)) / INDIRECT(ADDRESS(35,19)),0)</f>
        <v>0.39537804412127237</v>
      </c>
      <c r="AV30" s="4">
        <f ca="1">IFERROR((INDIRECT(ADDRESS(30,19)) - INDIRECT(ADDRESS(30,3)))/ INDIRECT(ADDRESS(30,3)),1)</f>
        <v>-0.51448663919746285</v>
      </c>
      <c r="AW30" s="3">
        <f ca="1">INDIRECT(ADDRESS(30,24))</f>
        <v>6636570.4465379994</v>
      </c>
      <c r="AX30" s="4">
        <f ca="1">IFERROR(INDIRECT(ADDRESS(30,24)) / INDIRECT(ADDRESS(35,24)),0)</f>
        <v>0.41894639876963363</v>
      </c>
      <c r="AY30" s="4">
        <f ca="1">IFERROR((INDIRECT(ADDRESS(30,24)) - INDIRECT(ADDRESS(30,3)))/ INDIRECT(ADDRESS(30,3)),1)</f>
        <v>-0.59068351286919596</v>
      </c>
      <c r="AZ30" s="3">
        <f ca="1">INDIRECT(ADDRESS(30,29))</f>
        <v>5593899.6722020004</v>
      </c>
      <c r="BA30" s="4">
        <f ca="1">IFERROR(INDIRECT(ADDRESS(30,29)) / INDIRECT(ADDRESS(35,29)),0)</f>
        <v>0.42899212691894051</v>
      </c>
      <c r="BB30" s="4">
        <f ca="1">IFERROR((INDIRECT(ADDRESS(30,29)) - INDIRECT(ADDRESS(30,3)))/ INDIRECT(ADDRESS(30,3)),1)</f>
        <v>-0.65499117629613957</v>
      </c>
      <c r="BC30" s="3">
        <f ca="1">INDIRECT(ADDRESS(30,34))</f>
        <v>4833335.307298</v>
      </c>
      <c r="BD30" s="4">
        <f ca="1">IFERROR(INDIRECT(ADDRESS(30,34)) / INDIRECT(ADDRESS(35,34)),0)</f>
        <v>0.41895986494429421</v>
      </c>
      <c r="BE30" s="4">
        <f ca="1">IFERROR((INDIRECT(ADDRESS(30,34)) - INDIRECT(ADDRESS(30,3)))/ INDIRECT(ADDRESS(30,3)),1)</f>
        <v>-0.70189967166844036</v>
      </c>
    </row>
    <row r="31" spans="1:57" x14ac:dyDescent="0.25">
      <c r="A31" s="5"/>
      <c r="B31" s="1" t="s">
        <v>127</v>
      </c>
      <c r="C31">
        <v>24286308.891982999</v>
      </c>
      <c r="D31">
        <v>24217943.462678999</v>
      </c>
      <c r="E31">
        <v>23820909.129905</v>
      </c>
      <c r="F31">
        <v>23235124.506724</v>
      </c>
      <c r="G31">
        <v>21729256.957715001</v>
      </c>
      <c r="H31">
        <v>19983793.761712998</v>
      </c>
      <c r="I31">
        <v>17567471.694642</v>
      </c>
      <c r="J31">
        <v>15775025.652534001</v>
      </c>
      <c r="K31">
        <v>13935920.618665</v>
      </c>
      <c r="L31">
        <v>12133098.031889999</v>
      </c>
      <c r="M31">
        <v>10465393.493543999</v>
      </c>
      <c r="N31">
        <v>9040180.9750989992</v>
      </c>
      <c r="O31">
        <v>8125462.9742790004</v>
      </c>
      <c r="P31">
        <v>7346099.9715400003</v>
      </c>
      <c r="Q31">
        <v>6649535.0958190002</v>
      </c>
      <c r="R31">
        <v>5896490.9297460001</v>
      </c>
      <c r="S31">
        <v>5277857.2910679998</v>
      </c>
      <c r="T31">
        <v>4659919.9391890001</v>
      </c>
      <c r="U31">
        <v>4065903.242782</v>
      </c>
      <c r="V31">
        <v>3517913.282997</v>
      </c>
      <c r="W31">
        <v>3071625.17239</v>
      </c>
      <c r="X31">
        <v>2676574.9806789998</v>
      </c>
      <c r="Y31">
        <v>2219694.7541479999</v>
      </c>
      <c r="Z31">
        <v>1823844.9305430001</v>
      </c>
      <c r="AA31">
        <v>1488496.324304</v>
      </c>
      <c r="AB31">
        <v>1207471.9085659999</v>
      </c>
      <c r="AC31">
        <v>972001.47418000002</v>
      </c>
      <c r="AD31">
        <v>774026.177012</v>
      </c>
      <c r="AE31">
        <v>605762.93412899994</v>
      </c>
      <c r="AF31">
        <v>460320.83480000001</v>
      </c>
      <c r="AG31">
        <v>331800.33053899999</v>
      </c>
      <c r="AH31">
        <v>215622.25657</v>
      </c>
      <c r="AK31" s="3" t="str">
        <f ca="1">INDIRECT(ADDRESS(31,2))</f>
        <v>Gas</v>
      </c>
      <c r="AL31" s="3">
        <f ca="1">INDIRECT(ADDRESS(31,3))</f>
        <v>24286308.891982999</v>
      </c>
      <c r="AM31" s="4">
        <f ca="1">IFERROR(INDIRECT(ADDRESS(31,3)) / INDIRECT(ADDRESS(35,3)),0)</f>
        <v>0.50175640883814332</v>
      </c>
      <c r="AN31" s="3">
        <f ca="1">INDIRECT(ADDRESS(31,9))</f>
        <v>17567471.694642</v>
      </c>
      <c r="AO31" s="4">
        <f ca="1">IFERROR(INDIRECT(ADDRESS(31,9)) / INDIRECT(ADDRESS(35,9)),0)</f>
        <v>0.4643129791848104</v>
      </c>
      <c r="AP31" s="4">
        <f ca="1">IFERROR((INDIRECT(ADDRESS(31,9)) - INDIRECT(ADDRESS(31,3)))/ INDIRECT(ADDRESS(31,3)),1)</f>
        <v>-0.27665122877354625</v>
      </c>
      <c r="AQ31" s="3">
        <f ca="1">INDIRECT(ADDRESS(31,14))</f>
        <v>9040180.9750989992</v>
      </c>
      <c r="AR31" s="4">
        <f ca="1">IFERROR(INDIRECT(ADDRESS(31,14)) / INDIRECT(ADDRESS(35,14)),0)</f>
        <v>0.35057868826776661</v>
      </c>
      <c r="AS31" s="4">
        <f ca="1">IFERROR((INDIRECT(ADDRESS(31,14)) - INDIRECT(ADDRESS(31,3)))/ INDIRECT(ADDRESS(31,3)),1)</f>
        <v>-0.62776636765567961</v>
      </c>
      <c r="AT31" s="3">
        <f ca="1">INDIRECT(ADDRESS(31,19))</f>
        <v>5277857.2910679998</v>
      </c>
      <c r="AU31" s="4">
        <f ca="1">IFERROR(INDIRECT(ADDRESS(31,19)) / INDIRECT(ADDRESS(35,19)),0)</f>
        <v>0.26508462273705163</v>
      </c>
      <c r="AV31" s="4">
        <f ca="1">IFERROR((INDIRECT(ADDRESS(31,19)) - INDIRECT(ADDRESS(31,3)))/ INDIRECT(ADDRESS(31,3)),1)</f>
        <v>-0.78268178525843257</v>
      </c>
      <c r="AW31" s="3">
        <f ca="1">INDIRECT(ADDRESS(31,24))</f>
        <v>2676574.9806789998</v>
      </c>
      <c r="AX31" s="4">
        <f ca="1">IFERROR(INDIRECT(ADDRESS(31,24)) / INDIRECT(ADDRESS(35,24)),0)</f>
        <v>0.16896399401249815</v>
      </c>
      <c r="AY31" s="4">
        <f ca="1">IFERROR((INDIRECT(ADDRESS(31,24)) - INDIRECT(ADDRESS(31,3)))/ INDIRECT(ADDRESS(31,3)),1)</f>
        <v>-0.8897907873698111</v>
      </c>
      <c r="AZ31" s="3">
        <f ca="1">INDIRECT(ADDRESS(31,29))</f>
        <v>972001.47418000002</v>
      </c>
      <c r="BA31" s="4">
        <f ca="1">IFERROR(INDIRECT(ADDRESS(31,29)) / INDIRECT(ADDRESS(35,29)),0)</f>
        <v>7.454209124431474E-2</v>
      </c>
      <c r="BB31" s="4">
        <f ca="1">IFERROR((INDIRECT(ADDRESS(31,29)) - INDIRECT(ADDRESS(31,3)))/ INDIRECT(ADDRESS(31,3)),1)</f>
        <v>-0.9599773897917907</v>
      </c>
      <c r="BC31" s="3">
        <f ca="1">INDIRECT(ADDRESS(31,34))</f>
        <v>215622.25657</v>
      </c>
      <c r="BD31" s="4">
        <f ca="1">IFERROR(INDIRECT(ADDRESS(31,34)) / INDIRECT(ADDRESS(35,34)),0)</f>
        <v>1.8690420951169778E-2</v>
      </c>
      <c r="BE31" s="4">
        <f ca="1">IFERROR((INDIRECT(ADDRESS(31,34)) - INDIRECT(ADDRESS(31,3)))/ INDIRECT(ADDRESS(31,3)),1)</f>
        <v>-0.99112165386971673</v>
      </c>
    </row>
    <row r="32" spans="1:57" x14ac:dyDescent="0.25">
      <c r="A32" s="5"/>
      <c r="B32" s="1" t="s">
        <v>44</v>
      </c>
      <c r="C32">
        <v>19106.891037000001</v>
      </c>
      <c r="D32">
        <v>40728.208795000013</v>
      </c>
      <c r="E32">
        <v>70948.252295999991</v>
      </c>
      <c r="F32">
        <v>101419.65686800001</v>
      </c>
      <c r="G32">
        <v>130995.943411</v>
      </c>
      <c r="H32">
        <v>162126.35386100001</v>
      </c>
      <c r="I32">
        <v>62181.432153000002</v>
      </c>
      <c r="J32">
        <v>71437.115791999997</v>
      </c>
      <c r="K32">
        <v>84163.482363999996</v>
      </c>
      <c r="L32">
        <v>98245.281013</v>
      </c>
      <c r="M32">
        <v>109600.196281</v>
      </c>
      <c r="N32">
        <v>119550.158486</v>
      </c>
      <c r="O32">
        <v>137346.49598599999</v>
      </c>
      <c r="P32">
        <v>153058.913226</v>
      </c>
      <c r="Q32">
        <v>167303.278575</v>
      </c>
      <c r="R32">
        <v>182312.26366699999</v>
      </c>
      <c r="S32">
        <v>194461.43080100001</v>
      </c>
      <c r="T32">
        <v>205510.98785500001</v>
      </c>
      <c r="U32">
        <v>215143.18398900001</v>
      </c>
      <c r="V32">
        <v>222108.37294199999</v>
      </c>
      <c r="W32">
        <v>225656.62778099999</v>
      </c>
      <c r="X32">
        <v>225634.719316</v>
      </c>
      <c r="Y32">
        <v>222023.16862400001</v>
      </c>
      <c r="Z32">
        <v>214668.71395400001</v>
      </c>
      <c r="AA32">
        <v>203742.702433</v>
      </c>
      <c r="AB32">
        <v>189945.07443199999</v>
      </c>
      <c r="AC32">
        <v>173071.64499299999</v>
      </c>
      <c r="AD32">
        <v>176847.022299</v>
      </c>
      <c r="AE32">
        <v>180190.94383599999</v>
      </c>
      <c r="AF32">
        <v>183204.92468299999</v>
      </c>
      <c r="AG32">
        <v>186210.16173299999</v>
      </c>
      <c r="AH32">
        <v>188551.203481</v>
      </c>
      <c r="AK32" s="3" t="str">
        <f ca="1">INDIRECT(ADDRESS(32,2))</f>
        <v>Grid Electricity</v>
      </c>
      <c r="AL32" s="3">
        <f ca="1">INDIRECT(ADDRESS(32,3))</f>
        <v>19106.891037000001</v>
      </c>
      <c r="AM32" s="4">
        <f ca="1">IFERROR(INDIRECT(ADDRESS(32,3)) / INDIRECT(ADDRESS(35,3)),0)</f>
        <v>3.9474936571985768E-4</v>
      </c>
      <c r="AN32" s="3">
        <f ca="1">INDIRECT(ADDRESS(32,9))</f>
        <v>62181.432153000002</v>
      </c>
      <c r="AO32" s="4">
        <f ca="1">IFERROR(INDIRECT(ADDRESS(32,9)) / INDIRECT(ADDRESS(35,9)),0)</f>
        <v>1.6434718959440994E-3</v>
      </c>
      <c r="AP32" s="4">
        <f ca="1">IFERROR((INDIRECT(ADDRESS(32,9)) - INDIRECT(ADDRESS(32,3)))/ INDIRECT(ADDRESS(32,3)),1)</f>
        <v>2.2543982185582814</v>
      </c>
      <c r="AQ32" s="3">
        <f ca="1">INDIRECT(ADDRESS(32,14))</f>
        <v>119550.158486</v>
      </c>
      <c r="AR32" s="4">
        <f ca="1">IFERROR(INDIRECT(ADDRESS(32,14)) / INDIRECT(ADDRESS(35,14)),0)</f>
        <v>4.6361613622194668E-3</v>
      </c>
      <c r="AS32" s="4">
        <f ca="1">IFERROR((INDIRECT(ADDRESS(32,14)) - INDIRECT(ADDRESS(32,3)))/ INDIRECT(ADDRESS(32,3)),1)</f>
        <v>5.2569131866871599</v>
      </c>
      <c r="AT32" s="3">
        <f ca="1">INDIRECT(ADDRESS(32,19))</f>
        <v>194461.43080100001</v>
      </c>
      <c r="AU32" s="4">
        <f ca="1">IFERROR(INDIRECT(ADDRESS(32,19)) / INDIRECT(ADDRESS(35,19)),0)</f>
        <v>9.7669815946007186E-3</v>
      </c>
      <c r="AV32" s="4">
        <f ca="1">IFERROR((INDIRECT(ADDRESS(32,19)) - INDIRECT(ADDRESS(32,3)))/ INDIRECT(ADDRESS(32,3)),1)</f>
        <v>9.1775548112160408</v>
      </c>
      <c r="AW32" s="3">
        <f ca="1">INDIRECT(ADDRESS(32,24))</f>
        <v>225634.719316</v>
      </c>
      <c r="AX32" s="4">
        <f ca="1">IFERROR(INDIRECT(ADDRESS(32,24)) / INDIRECT(ADDRESS(35,24)),0)</f>
        <v>1.4243629877257875E-2</v>
      </c>
      <c r="AY32" s="4">
        <f ca="1">IFERROR((INDIRECT(ADDRESS(32,24)) - INDIRECT(ADDRESS(32,3)))/ INDIRECT(ADDRESS(32,3)),1)</f>
        <v>10.8090755256344</v>
      </c>
      <c r="AZ32" s="3">
        <f ca="1">INDIRECT(ADDRESS(32,29))</f>
        <v>173071.64499299999</v>
      </c>
      <c r="BA32" s="4">
        <f ca="1">IFERROR(INDIRECT(ADDRESS(32,29)) / INDIRECT(ADDRESS(35,29)),0)</f>
        <v>1.3272739492247684E-2</v>
      </c>
      <c r="BB32" s="4">
        <f ca="1">IFERROR((INDIRECT(ADDRESS(32,29)) - INDIRECT(ADDRESS(32,3)))/ INDIRECT(ADDRESS(32,3)),1)</f>
        <v>8.0580746317049297</v>
      </c>
      <c r="BC32" s="3">
        <f ca="1">INDIRECT(ADDRESS(32,34))</f>
        <v>188551.203481</v>
      </c>
      <c r="BD32" s="4">
        <f ca="1">IFERROR(INDIRECT(ADDRESS(32,34)) / INDIRECT(ADDRESS(35,34)),0)</f>
        <v>1.6343866444814278E-2</v>
      </c>
      <c r="BE32" s="4">
        <f ca="1">IFERROR((INDIRECT(ADDRESS(32,34)) - INDIRECT(ADDRESS(32,3)))/ INDIRECT(ADDRESS(32,3)),1)</f>
        <v>8.8682304261784655</v>
      </c>
    </row>
    <row r="33" spans="1:57" x14ac:dyDescent="0.25">
      <c r="A33" s="5"/>
      <c r="B33" s="1" t="s">
        <v>45</v>
      </c>
      <c r="C33">
        <v>7872484.352</v>
      </c>
      <c r="D33">
        <v>7872484.352</v>
      </c>
      <c r="E33">
        <v>7785012.07424</v>
      </c>
      <c r="F33">
        <v>7697540.2657160005</v>
      </c>
      <c r="G33">
        <v>7610068.4571930002</v>
      </c>
      <c r="H33">
        <v>7522596.1794330003</v>
      </c>
      <c r="I33">
        <v>7435123.9016730003</v>
      </c>
      <c r="J33">
        <v>7347652.0931489998</v>
      </c>
      <c r="K33">
        <v>7260180.2846259996</v>
      </c>
      <c r="L33">
        <v>7172708.0068650004</v>
      </c>
      <c r="M33">
        <v>7085235.7291050004</v>
      </c>
      <c r="N33">
        <v>6997763.9205820002</v>
      </c>
      <c r="O33">
        <v>6910292.1120579997</v>
      </c>
      <c r="P33">
        <v>6822819.8342979997</v>
      </c>
      <c r="Q33">
        <v>6735347.5565379998</v>
      </c>
      <c r="R33">
        <v>6647875.7480149996</v>
      </c>
      <c r="S33">
        <v>6560403.939491</v>
      </c>
      <c r="T33">
        <v>6472931.6617310001</v>
      </c>
      <c r="U33">
        <v>6385459.3839710001</v>
      </c>
      <c r="V33">
        <v>6297987.5754469996</v>
      </c>
      <c r="W33">
        <v>6297987.5754469996</v>
      </c>
      <c r="X33">
        <v>6297987.5754469996</v>
      </c>
      <c r="Y33">
        <v>6297987.5754469996</v>
      </c>
      <c r="Z33">
        <v>6297987.5754469996</v>
      </c>
      <c r="AA33">
        <v>6297987.5754469996</v>
      </c>
      <c r="AB33">
        <v>6297987.5754469996</v>
      </c>
      <c r="AC33">
        <v>6297987.5754469996</v>
      </c>
      <c r="AD33">
        <v>6297987.5754469996</v>
      </c>
      <c r="AE33">
        <v>6297987.5754469996</v>
      </c>
      <c r="AF33">
        <v>6297987.5754469996</v>
      </c>
      <c r="AG33">
        <v>6297987.5754469996</v>
      </c>
      <c r="AH33">
        <v>6297987.5754469996</v>
      </c>
      <c r="AK33" s="3" t="str">
        <f ca="1">INDIRECT(ADDRESS(33,2))</f>
        <v>Jet Fuel</v>
      </c>
      <c r="AL33" s="3">
        <f ca="1">INDIRECT(ADDRESS(33,3))</f>
        <v>7872484.352</v>
      </c>
      <c r="AM33" s="4">
        <f ca="1">IFERROR(INDIRECT(ADDRESS(33,3)) / INDIRECT(ADDRESS(35,3)),0)</f>
        <v>0.1626459374564708</v>
      </c>
      <c r="AN33" s="3">
        <f ca="1">INDIRECT(ADDRESS(33,9))</f>
        <v>7435123.9016730003</v>
      </c>
      <c r="AO33" s="4">
        <f ca="1">IFERROR(INDIRECT(ADDRESS(33,9)) / INDIRECT(ADDRESS(35,9)),0)</f>
        <v>0.19651231488518037</v>
      </c>
      <c r="AP33" s="4">
        <f ca="1">IFERROR((INDIRECT(ADDRESS(33,9)) - INDIRECT(ADDRESS(33,3)))/ INDIRECT(ADDRESS(33,3)),1)</f>
        <v>-5.5555582046458878E-2</v>
      </c>
      <c r="AQ33" s="3">
        <f ca="1">INDIRECT(ADDRESS(33,14))</f>
        <v>6997763.9205820002</v>
      </c>
      <c r="AR33" s="4">
        <f ca="1">IFERROR(INDIRECT(ADDRESS(33,14)) / INDIRECT(ADDRESS(35,14)),0)</f>
        <v>0.27137364869604014</v>
      </c>
      <c r="AS33" s="4">
        <f ca="1">IFERROR((INDIRECT(ADDRESS(33,14)) - INDIRECT(ADDRESS(33,3)))/ INDIRECT(ADDRESS(33,3)),1)</f>
        <v>-0.11111110448835348</v>
      </c>
      <c r="AT33" s="3">
        <f ca="1">INDIRECT(ADDRESS(33,19))</f>
        <v>6560403.939491</v>
      </c>
      <c r="AU33" s="4">
        <f ca="1">IFERROR(INDIRECT(ADDRESS(33,19)) / INDIRECT(ADDRESS(35,19)),0)</f>
        <v>0.32950155856728958</v>
      </c>
      <c r="AV33" s="4">
        <f ca="1">IFERROR((INDIRECT(ADDRESS(33,19)) - INDIRECT(ADDRESS(33,3)))/ INDIRECT(ADDRESS(33,3)),1)</f>
        <v>-0.16666662693024809</v>
      </c>
      <c r="AW33" s="3">
        <f ca="1">INDIRECT(ADDRESS(33,24))</f>
        <v>6297987.5754469996</v>
      </c>
      <c r="AX33" s="4">
        <f ca="1">IFERROR(INDIRECT(ADDRESS(33,24)) / INDIRECT(ADDRESS(35,24)),0)</f>
        <v>0.39757269744734097</v>
      </c>
      <c r="AY33" s="4">
        <f ca="1">IFERROR((INDIRECT(ADDRESS(33,24)) - INDIRECT(ADDRESS(33,3)))/ INDIRECT(ADDRESS(33,3)),1)</f>
        <v>-0.19999998807911257</v>
      </c>
      <c r="AZ33" s="3">
        <f ca="1">INDIRECT(ADDRESS(33,29))</f>
        <v>6297987.5754469996</v>
      </c>
      <c r="BA33" s="4">
        <f ca="1">IFERROR(INDIRECT(ADDRESS(33,29)) / INDIRECT(ADDRESS(35,29)),0)</f>
        <v>0.48298811984887274</v>
      </c>
      <c r="BB33" s="4">
        <f ca="1">IFERROR((INDIRECT(ADDRESS(33,29)) - INDIRECT(ADDRESS(33,3)))/ INDIRECT(ADDRESS(33,3)),1)</f>
        <v>-0.19999998807911257</v>
      </c>
      <c r="BC33" s="3">
        <f ca="1">INDIRECT(ADDRESS(33,34))</f>
        <v>6297987.5754469996</v>
      </c>
      <c r="BD33" s="4">
        <f ca="1">IFERROR(INDIRECT(ADDRESS(33,34)) / INDIRECT(ADDRESS(35,34)),0)</f>
        <v>0.54591785098087631</v>
      </c>
      <c r="BE33" s="4">
        <f ca="1">IFERROR((INDIRECT(ADDRESS(33,34)) - INDIRECT(ADDRESS(33,3)))/ INDIRECT(ADDRESS(33,3)),1)</f>
        <v>-0.19999998807911257</v>
      </c>
    </row>
    <row r="34" spans="1:57" x14ac:dyDescent="0.25">
      <c r="A34" s="5"/>
      <c r="B34" s="1" t="s">
        <v>46</v>
      </c>
      <c r="C34">
        <v>10900.915784000001</v>
      </c>
      <c r="D34">
        <v>10900.915784000001</v>
      </c>
      <c r="E34">
        <v>10797.434009000001</v>
      </c>
      <c r="F34">
        <v>10693.952794000001</v>
      </c>
      <c r="G34">
        <v>10142.625399</v>
      </c>
      <c r="H34">
        <v>9601.5934180000004</v>
      </c>
      <c r="I34">
        <v>9070.8561460000001</v>
      </c>
      <c r="J34">
        <v>8550.4152620000004</v>
      </c>
      <c r="K34">
        <v>8040.2690570000004</v>
      </c>
      <c r="L34">
        <v>7540.4177449999997</v>
      </c>
      <c r="M34">
        <v>7050.8623589999997</v>
      </c>
      <c r="N34">
        <v>6571.6020589999998</v>
      </c>
      <c r="O34">
        <v>6317.9305029999996</v>
      </c>
      <c r="P34">
        <v>6069.1029090000002</v>
      </c>
      <c r="Q34">
        <v>5825.1207450000002</v>
      </c>
      <c r="R34">
        <v>5585.9837259999986</v>
      </c>
      <c r="S34">
        <v>5351.6909939999996</v>
      </c>
      <c r="T34">
        <v>5122.243391</v>
      </c>
      <c r="U34">
        <v>4897.6406459999998</v>
      </c>
      <c r="V34">
        <v>4677.8824699999996</v>
      </c>
      <c r="W34">
        <v>4503.4679839999999</v>
      </c>
      <c r="X34">
        <v>4329.0532359999997</v>
      </c>
      <c r="Y34">
        <v>3997.6654990000002</v>
      </c>
      <c r="Z34">
        <v>3666.2775019999999</v>
      </c>
      <c r="AA34">
        <v>3334.8897649999999</v>
      </c>
      <c r="AB34">
        <v>3003.5017680000001</v>
      </c>
      <c r="AC34">
        <v>2672.1140300000002</v>
      </c>
      <c r="AD34">
        <v>2340.7261629999998</v>
      </c>
      <c r="AE34">
        <v>2009.338299</v>
      </c>
      <c r="AF34">
        <v>1677.9504320000001</v>
      </c>
      <c r="AG34">
        <v>1346.5625680000001</v>
      </c>
      <c r="AH34">
        <v>1015.174699</v>
      </c>
      <c r="AK34" s="3" t="str">
        <f ca="1">INDIRECT(ADDRESS(34,2))</f>
        <v>Natural Gas</v>
      </c>
      <c r="AL34" s="3">
        <f ca="1">INDIRECT(ADDRESS(34,3))</f>
        <v>10900.915784000001</v>
      </c>
      <c r="AM34" s="4">
        <f ca="1">IFERROR(INDIRECT(ADDRESS(34,3)) / INDIRECT(ADDRESS(35,3)),0)</f>
        <v>2.2521348884895433E-4</v>
      </c>
      <c r="AN34" s="3">
        <f ca="1">INDIRECT(ADDRESS(34,9))</f>
        <v>9070.8561460000001</v>
      </c>
      <c r="AO34" s="4">
        <f ca="1">IFERROR(INDIRECT(ADDRESS(34,9)) / INDIRECT(ADDRESS(35,9)),0)</f>
        <v>2.3974515594014941E-4</v>
      </c>
      <c r="AP34" s="4">
        <f ca="1">IFERROR((INDIRECT(ADDRESS(34,9)) - INDIRECT(ADDRESS(34,3)))/ INDIRECT(ADDRESS(34,3)),1)</f>
        <v>-0.16788127477198758</v>
      </c>
      <c r="AQ34" s="3">
        <f ca="1">INDIRECT(ADDRESS(34,14))</f>
        <v>6571.6020589999998</v>
      </c>
      <c r="AR34" s="4">
        <f ca="1">IFERROR(INDIRECT(ADDRESS(34,14)) / INDIRECT(ADDRESS(35,14)),0)</f>
        <v>2.5484706954516964E-4</v>
      </c>
      <c r="AS34" s="4">
        <f ca="1">IFERROR((INDIRECT(ADDRESS(34,14)) - INDIRECT(ADDRESS(34,3)))/ INDIRECT(ADDRESS(34,3)),1)</f>
        <v>-0.39715137799288597</v>
      </c>
      <c r="AT34" s="3">
        <f ca="1">INDIRECT(ADDRESS(34,19))</f>
        <v>5351.6909939999996</v>
      </c>
      <c r="AU34" s="4">
        <f ca="1">IFERROR(INDIRECT(ADDRESS(34,19)) / INDIRECT(ADDRESS(35,19)),0)</f>
        <v>2.6879297978568418E-4</v>
      </c>
      <c r="AV34" s="4">
        <f ca="1">IFERROR((INDIRECT(ADDRESS(34,19)) - INDIRECT(ADDRESS(34,3)))/ INDIRECT(ADDRESS(34,3)),1)</f>
        <v>-0.50906042207435154</v>
      </c>
      <c r="AW34" s="3">
        <f ca="1">INDIRECT(ADDRESS(34,24))</f>
        <v>4329.0532359999997</v>
      </c>
      <c r="AX34" s="4">
        <f ca="1">IFERROR(INDIRECT(ADDRESS(34,24)) / INDIRECT(ADDRESS(35,24)),0)</f>
        <v>2.7327989326932014E-4</v>
      </c>
      <c r="AY34" s="4">
        <f ca="1">IFERROR((INDIRECT(ADDRESS(34,24)) - INDIRECT(ADDRESS(34,3)))/ INDIRECT(ADDRESS(34,3)),1)</f>
        <v>-0.60287251807283571</v>
      </c>
      <c r="AZ34" s="3">
        <f ca="1">INDIRECT(ADDRESS(34,29))</f>
        <v>2672.1140300000002</v>
      </c>
      <c r="BA34" s="4">
        <f ca="1">IFERROR(INDIRECT(ADDRESS(34,29)) / INDIRECT(ADDRESS(35,29)),0)</f>
        <v>2.0492249562430967E-4</v>
      </c>
      <c r="BB34" s="4">
        <f ca="1">IFERROR((INDIRECT(ADDRESS(34,29)) - INDIRECT(ADDRESS(34,3)))/ INDIRECT(ADDRESS(34,3)),1)</f>
        <v>-0.75487251869957195</v>
      </c>
      <c r="BC34" s="3">
        <f ca="1">INDIRECT(ADDRESS(34,34))</f>
        <v>1015.174699</v>
      </c>
      <c r="BD34" s="4">
        <f ca="1">IFERROR(INDIRECT(ADDRESS(34,34)) / INDIRECT(ADDRESS(35,34)),0)</f>
        <v>8.7996678845290286E-5</v>
      </c>
      <c r="BE34" s="4">
        <f ca="1">IFERROR((INDIRECT(ADDRESS(34,34)) - INDIRECT(ADDRESS(34,3)))/ INDIRECT(ADDRESS(34,3)),1)</f>
        <v>-0.90687253079323493</v>
      </c>
    </row>
    <row r="35" spans="1:57" x14ac:dyDescent="0.25">
      <c r="A35" s="1" t="s">
        <v>21</v>
      </c>
      <c r="B35" s="1"/>
      <c r="C35">
        <v>48402588.316151001</v>
      </c>
      <c r="D35">
        <v>47673078.694449998</v>
      </c>
      <c r="E35">
        <v>46893053.484784</v>
      </c>
      <c r="F35">
        <v>45886949.069118001</v>
      </c>
      <c r="G35">
        <v>43602674.683847003</v>
      </c>
      <c r="H35">
        <v>41086857.254972003</v>
      </c>
      <c r="I35">
        <v>37835409.480659001</v>
      </c>
      <c r="J35">
        <v>35269409.365947001</v>
      </c>
      <c r="K35">
        <v>32701793.975008</v>
      </c>
      <c r="L35">
        <v>30197146.858261</v>
      </c>
      <c r="M35">
        <v>27851941.024245001</v>
      </c>
      <c r="N35">
        <v>25786453.30601</v>
      </c>
      <c r="O35">
        <v>24419177.633435</v>
      </c>
      <c r="P35">
        <v>23208413.131434001</v>
      </c>
      <c r="Q35">
        <v>22091644.812778</v>
      </c>
      <c r="R35">
        <v>20921864.735541001</v>
      </c>
      <c r="S35">
        <v>19910084.698890001</v>
      </c>
      <c r="T35">
        <v>18906178.113274001</v>
      </c>
      <c r="U35">
        <v>17935608.690788001</v>
      </c>
      <c r="V35">
        <v>17021516.821931001</v>
      </c>
      <c r="W35">
        <v>16402321.984959001</v>
      </c>
      <c r="X35">
        <v>15841096.775216</v>
      </c>
      <c r="Y35">
        <v>15143778.735377001</v>
      </c>
      <c r="Z35">
        <v>14518247.325797001</v>
      </c>
      <c r="AA35">
        <v>13963925.259981001</v>
      </c>
      <c r="AB35">
        <v>13474439.828187</v>
      </c>
      <c r="AC35">
        <v>13039632.480852</v>
      </c>
      <c r="AD35">
        <v>12674373.229418</v>
      </c>
      <c r="AE35">
        <v>12348467.213671001</v>
      </c>
      <c r="AF35">
        <v>12054289.494976999</v>
      </c>
      <c r="AG35">
        <v>11785560.159313999</v>
      </c>
      <c r="AH35">
        <v>11536511.517495001</v>
      </c>
    </row>
    <row r="36" spans="1:57" x14ac:dyDescent="0.25">
      <c r="A36" s="5" t="s">
        <v>4</v>
      </c>
      <c r="B36" s="1" t="s">
        <v>41</v>
      </c>
      <c r="C36">
        <v>16213787.265347</v>
      </c>
      <c r="D36">
        <v>15618834.794822</v>
      </c>
      <c r="E36">
        <v>15608886.437684</v>
      </c>
      <c r="F36">
        <v>15554648.9647</v>
      </c>
      <c r="G36">
        <v>15519720.949983999</v>
      </c>
      <c r="H36">
        <v>15468091.068451</v>
      </c>
      <c r="I36">
        <v>15468104.607917</v>
      </c>
      <c r="J36">
        <v>15375688.142406</v>
      </c>
      <c r="K36">
        <v>15310444.634891</v>
      </c>
      <c r="L36">
        <v>15254690.150757</v>
      </c>
      <c r="M36">
        <v>15205551.065053999</v>
      </c>
      <c r="N36">
        <v>15179172.693264</v>
      </c>
      <c r="O36">
        <v>15155935.415913001</v>
      </c>
      <c r="P36">
        <v>15148536.602435</v>
      </c>
      <c r="Q36">
        <v>15140104.453446999</v>
      </c>
      <c r="R36">
        <v>15122363.813806999</v>
      </c>
      <c r="S36">
        <v>15127427.72817</v>
      </c>
      <c r="T36">
        <v>15130145.135726999</v>
      </c>
      <c r="U36">
        <v>15135155.345528999</v>
      </c>
      <c r="V36">
        <v>15143479.841185</v>
      </c>
      <c r="W36">
        <v>15157397.464677</v>
      </c>
      <c r="X36">
        <v>15176435.039532</v>
      </c>
      <c r="Y36">
        <v>15192241.262579</v>
      </c>
      <c r="Z36">
        <v>15208907.550524</v>
      </c>
      <c r="AA36">
        <v>15226547.194613</v>
      </c>
      <c r="AB36">
        <v>15245672.830026999</v>
      </c>
      <c r="AC36">
        <v>15266625.498369001</v>
      </c>
      <c r="AD36">
        <v>15292203.048435999</v>
      </c>
      <c r="AE36">
        <v>15320306.321846001</v>
      </c>
      <c r="AF36">
        <v>15350901.613945</v>
      </c>
      <c r="AG36">
        <v>15383661.147554001</v>
      </c>
      <c r="AH36">
        <v>15417472.701508</v>
      </c>
      <c r="AK36" s="3" t="str">
        <f ca="1">INDIRECT(ADDRESS(36,2))</f>
        <v>Diesel</v>
      </c>
      <c r="AL36" s="3">
        <f ca="1">INDIRECT(ADDRESS(36,3))</f>
        <v>16213787.265347</v>
      </c>
      <c r="AM36" s="4">
        <f ca="1">IFERROR(INDIRECT(ADDRESS(36,3)) / INDIRECT(ADDRESS(41,3)),0)</f>
        <v>0.33497769085081708</v>
      </c>
      <c r="AN36" s="3">
        <f ca="1">INDIRECT(ADDRESS(36,9))</f>
        <v>15468104.607917</v>
      </c>
      <c r="AO36" s="4">
        <f ca="1">IFERROR(INDIRECT(ADDRESS(36,9)) / INDIRECT(ADDRESS(41,9)),0)</f>
        <v>0.33750025437804904</v>
      </c>
      <c r="AP36" s="4">
        <f ca="1">IFERROR((INDIRECT(ADDRESS(36,9)) - INDIRECT(ADDRESS(36,3)))/ INDIRECT(ADDRESS(36,3)),1)</f>
        <v>-4.5990652598712371E-2</v>
      </c>
      <c r="AQ36" s="3">
        <f ca="1">INDIRECT(ADDRESS(36,14))</f>
        <v>15179172.693264</v>
      </c>
      <c r="AR36" s="4">
        <f ca="1">IFERROR(INDIRECT(ADDRESS(36,14)) / INDIRECT(ADDRESS(41,14)),0)</f>
        <v>0.35598561949019847</v>
      </c>
      <c r="AS36" s="4">
        <f ca="1">IFERROR((INDIRECT(ADDRESS(36,14)) - INDIRECT(ADDRESS(36,3)))/ INDIRECT(ADDRESS(36,3)),1)</f>
        <v>-6.3810789863651129E-2</v>
      </c>
      <c r="AT36" s="3">
        <f ca="1">INDIRECT(ADDRESS(36,19))</f>
        <v>15127427.72817</v>
      </c>
      <c r="AU36" s="4">
        <f ca="1">IFERROR(INDIRECT(ADDRESS(36,19)) / INDIRECT(ADDRESS(41,19)),0)</f>
        <v>0.35752984495613138</v>
      </c>
      <c r="AV36" s="4">
        <f ca="1">IFERROR((INDIRECT(ADDRESS(36,19)) - INDIRECT(ADDRESS(36,3)))/ INDIRECT(ADDRESS(36,3)),1)</f>
        <v>-6.7002207405226513E-2</v>
      </c>
      <c r="AW36" s="3">
        <f ca="1">INDIRECT(ADDRESS(36,24))</f>
        <v>15176435.039532</v>
      </c>
      <c r="AX36" s="4">
        <f ca="1">IFERROR(INDIRECT(ADDRESS(36,24)) / INDIRECT(ADDRESS(41,24)),0)</f>
        <v>0.35702619743040398</v>
      </c>
      <c r="AY36" s="4">
        <f ca="1">IFERROR((INDIRECT(ADDRESS(36,24)) - INDIRECT(ADDRESS(36,3)))/ INDIRECT(ADDRESS(36,3)),1)</f>
        <v>-6.3979637134630868E-2</v>
      </c>
      <c r="AZ36" s="3">
        <f ca="1">INDIRECT(ADDRESS(36,29))</f>
        <v>15266625.498369001</v>
      </c>
      <c r="BA36" s="4">
        <f ca="1">IFERROR(INDIRECT(ADDRESS(36,29)) / INDIRECT(ADDRESS(41,29)),0)</f>
        <v>0.35658591583648541</v>
      </c>
      <c r="BB36" s="4">
        <f ca="1">IFERROR((INDIRECT(ADDRESS(36,29)) - INDIRECT(ADDRESS(36,3)))/ INDIRECT(ADDRESS(36,3)),1)</f>
        <v>-5.8417058980558212E-2</v>
      </c>
      <c r="BC36" s="3">
        <f ca="1">INDIRECT(ADDRESS(36,34))</f>
        <v>15417472.701508</v>
      </c>
      <c r="BD36" s="4">
        <f ca="1">IFERROR(INDIRECT(ADDRESS(36,34)) / INDIRECT(ADDRESS(41,34)),0)</f>
        <v>0.35475040241814604</v>
      </c>
      <c r="BE36" s="4">
        <f ca="1">IFERROR((INDIRECT(ADDRESS(36,34)) - INDIRECT(ADDRESS(36,3)))/ INDIRECT(ADDRESS(36,3)),1)</f>
        <v>-4.9113421238782817E-2</v>
      </c>
    </row>
    <row r="37" spans="1:57" x14ac:dyDescent="0.25">
      <c r="A37" s="5"/>
      <c r="B37" s="1" t="s">
        <v>127</v>
      </c>
      <c r="C37">
        <v>24286308.891982999</v>
      </c>
      <c r="D37">
        <v>24297696.613184001</v>
      </c>
      <c r="E37">
        <v>24305709.953127</v>
      </c>
      <c r="F37">
        <v>24121831.007941999</v>
      </c>
      <c r="G37">
        <v>23991209.181883998</v>
      </c>
      <c r="H37">
        <v>23642229.351530001</v>
      </c>
      <c r="I37">
        <v>22426236.541423999</v>
      </c>
      <c r="J37">
        <v>21835635.082982</v>
      </c>
      <c r="K37">
        <v>21155078.383685</v>
      </c>
      <c r="L37">
        <v>20471122.281872001</v>
      </c>
      <c r="M37">
        <v>19870388.598990999</v>
      </c>
      <c r="N37">
        <v>19506597.972920999</v>
      </c>
      <c r="O37">
        <v>19307595.031805001</v>
      </c>
      <c r="P37">
        <v>19249334.885696001</v>
      </c>
      <c r="Q37">
        <v>19265362.755231</v>
      </c>
      <c r="R37">
        <v>19173895.236751001</v>
      </c>
      <c r="S37">
        <v>19225327.474513002</v>
      </c>
      <c r="T37">
        <v>19237246.296055</v>
      </c>
      <c r="U37">
        <v>19245388.049794</v>
      </c>
      <c r="V37">
        <v>19263135.763016</v>
      </c>
      <c r="W37">
        <v>19306441.793219998</v>
      </c>
      <c r="X37">
        <v>19372179.853209998</v>
      </c>
      <c r="Y37">
        <v>19422248.966726001</v>
      </c>
      <c r="Z37">
        <v>19463032.379455</v>
      </c>
      <c r="AA37">
        <v>19498453.970043</v>
      </c>
      <c r="AB37">
        <v>19537164.404309001</v>
      </c>
      <c r="AC37">
        <v>19585611.616</v>
      </c>
      <c r="AD37">
        <v>19647840.820152</v>
      </c>
      <c r="AE37">
        <v>19729092.779146001</v>
      </c>
      <c r="AF37">
        <v>19830531.100655001</v>
      </c>
      <c r="AG37">
        <v>19950064.977357</v>
      </c>
      <c r="AH37">
        <v>20078370.999499999</v>
      </c>
      <c r="AK37" s="3" t="str">
        <f ca="1">INDIRECT(ADDRESS(37,2))</f>
        <v>Gas</v>
      </c>
      <c r="AL37" s="3">
        <f ca="1">INDIRECT(ADDRESS(37,3))</f>
        <v>24286308.891982999</v>
      </c>
      <c r="AM37" s="4">
        <f ca="1">IFERROR(INDIRECT(ADDRESS(37,3)) / INDIRECT(ADDRESS(41,3)),0)</f>
        <v>0.50175640883814332</v>
      </c>
      <c r="AN37" s="3">
        <f ca="1">INDIRECT(ADDRESS(37,9))</f>
        <v>22426236.541423999</v>
      </c>
      <c r="AO37" s="4">
        <f ca="1">IFERROR(INDIRECT(ADDRESS(37,9)) / INDIRECT(ADDRESS(41,9)),0)</f>
        <v>0.48932049073413608</v>
      </c>
      <c r="AP37" s="4">
        <f ca="1">IFERROR((INDIRECT(ADDRESS(37,9)) - INDIRECT(ADDRESS(37,3)))/ INDIRECT(ADDRESS(37,3)),1)</f>
        <v>-7.6589339237672985E-2</v>
      </c>
      <c r="AQ37" s="3">
        <f ca="1">INDIRECT(ADDRESS(37,14))</f>
        <v>19506597.972920999</v>
      </c>
      <c r="AR37" s="4">
        <f ca="1">IFERROR(INDIRECT(ADDRESS(37,14)) / INDIRECT(ADDRESS(41,14)),0)</f>
        <v>0.4574734410010417</v>
      </c>
      <c r="AS37" s="4">
        <f ca="1">IFERROR((INDIRECT(ADDRESS(37,14)) - INDIRECT(ADDRESS(37,3)))/ INDIRECT(ADDRESS(37,3)),1)</f>
        <v>-0.19680680750296312</v>
      </c>
      <c r="AT37" s="3">
        <f ca="1">INDIRECT(ADDRESS(37,19))</f>
        <v>19225327.474513002</v>
      </c>
      <c r="AU37" s="4">
        <f ca="1">IFERROR(INDIRECT(ADDRESS(37,19)) / INDIRECT(ADDRESS(41,19)),0)</f>
        <v>0.4543818337597178</v>
      </c>
      <c r="AV37" s="4">
        <f ca="1">IFERROR((INDIRECT(ADDRESS(37,19)) - INDIRECT(ADDRESS(37,3)))/ INDIRECT(ADDRESS(37,3)),1)</f>
        <v>-0.20838825035041228</v>
      </c>
      <c r="AW37" s="3">
        <f ca="1">INDIRECT(ADDRESS(37,24))</f>
        <v>19372179.853209998</v>
      </c>
      <c r="AX37" s="4">
        <f ca="1">IFERROR(INDIRECT(ADDRESS(37,24)) / INDIRECT(ADDRESS(41,24)),0)</f>
        <v>0.45573124985633839</v>
      </c>
      <c r="AY37" s="4">
        <f ca="1">IFERROR((INDIRECT(ADDRESS(37,24)) - INDIRECT(ADDRESS(37,3)))/ INDIRECT(ADDRESS(37,3)),1)</f>
        <v>-0.20234153574465868</v>
      </c>
      <c r="AZ37" s="3">
        <f ca="1">INDIRECT(ADDRESS(37,29))</f>
        <v>19585611.616</v>
      </c>
      <c r="BA37" s="4">
        <f ca="1">IFERROR(INDIRECT(ADDRESS(37,29)) / INDIRECT(ADDRESS(41,29)),0)</f>
        <v>0.45746542063635437</v>
      </c>
      <c r="BB37" s="4">
        <f ca="1">IFERROR((INDIRECT(ADDRESS(37,29)) - INDIRECT(ADDRESS(37,3)))/ INDIRECT(ADDRESS(37,3)),1)</f>
        <v>-0.19355338420877599</v>
      </c>
      <c r="BC37" s="3">
        <f ca="1">INDIRECT(ADDRESS(37,34))</f>
        <v>20078370.999499999</v>
      </c>
      <c r="BD37" s="4">
        <f ca="1">IFERROR(INDIRECT(ADDRESS(37,34)) / INDIRECT(ADDRESS(41,34)),0)</f>
        <v>0.4619959658677889</v>
      </c>
      <c r="BE37" s="4">
        <f ca="1">IFERROR((INDIRECT(ADDRESS(37,34)) - INDIRECT(ADDRESS(37,3)))/ INDIRECT(ADDRESS(37,3)),1)</f>
        <v>-0.17326378871315665</v>
      </c>
    </row>
    <row r="38" spans="1:57" x14ac:dyDescent="0.25">
      <c r="A38" s="5"/>
      <c r="B38" s="1" t="s">
        <v>44</v>
      </c>
      <c r="C38">
        <v>19106.891037000001</v>
      </c>
      <c r="D38">
        <v>27113.376141000001</v>
      </c>
      <c r="E38">
        <v>32614.639584</v>
      </c>
      <c r="F38">
        <v>36694.517627000001</v>
      </c>
      <c r="G38">
        <v>41428.248452</v>
      </c>
      <c r="H38">
        <v>45272.642745999998</v>
      </c>
      <c r="I38">
        <v>53660.099670000003</v>
      </c>
      <c r="J38">
        <v>56768.587366</v>
      </c>
      <c r="K38">
        <v>60518.479285000001</v>
      </c>
      <c r="L38">
        <v>63925.108684999999</v>
      </c>
      <c r="M38">
        <v>67304.332446999993</v>
      </c>
      <c r="N38">
        <v>70692.032366999993</v>
      </c>
      <c r="O38">
        <v>72483.830188000007</v>
      </c>
      <c r="P38">
        <v>72875.464905000001</v>
      </c>
      <c r="Q38">
        <v>74136.570187999998</v>
      </c>
      <c r="R38">
        <v>74271.745194999996</v>
      </c>
      <c r="S38">
        <v>74810.465744000001</v>
      </c>
      <c r="T38">
        <v>74890.536926000001</v>
      </c>
      <c r="U38">
        <v>74934.323371999999</v>
      </c>
      <c r="V38">
        <v>75077.846225999994</v>
      </c>
      <c r="W38">
        <v>75417.244756</v>
      </c>
      <c r="X38">
        <v>75903.037503</v>
      </c>
      <c r="Y38">
        <v>76327.428600999992</v>
      </c>
      <c r="Z38">
        <v>76687.255961000003</v>
      </c>
      <c r="AA38">
        <v>77002.355618000001</v>
      </c>
      <c r="AB38">
        <v>77324.238251999996</v>
      </c>
      <c r="AC38">
        <v>77693.624892000007</v>
      </c>
      <c r="AD38">
        <v>78114.28357</v>
      </c>
      <c r="AE38">
        <v>78642.385741000006</v>
      </c>
      <c r="AF38">
        <v>79285.426676999996</v>
      </c>
      <c r="AG38">
        <v>80030.334380999993</v>
      </c>
      <c r="AH38">
        <v>80828.007649000006</v>
      </c>
      <c r="AK38" s="3" t="str">
        <f ca="1">INDIRECT(ADDRESS(38,2))</f>
        <v>Grid Electricity</v>
      </c>
      <c r="AL38" s="3">
        <f ca="1">INDIRECT(ADDRESS(38,3))</f>
        <v>19106.891037000001</v>
      </c>
      <c r="AM38" s="4">
        <f ca="1">IFERROR(INDIRECT(ADDRESS(38,3)) / INDIRECT(ADDRESS(41,3)),0)</f>
        <v>3.9474936571985768E-4</v>
      </c>
      <c r="AN38" s="3">
        <f ca="1">INDIRECT(ADDRESS(38,9))</f>
        <v>53660.099670000003</v>
      </c>
      <c r="AO38" s="4">
        <f ca="1">IFERROR(INDIRECT(ADDRESS(38,9)) / INDIRECT(ADDRESS(41,9)),0)</f>
        <v>1.1708155425395248E-3</v>
      </c>
      <c r="AP38" s="4">
        <f ca="1">IFERROR((INDIRECT(ADDRESS(38,9)) - INDIRECT(ADDRESS(38,3)))/ INDIRECT(ADDRESS(38,3)),1)</f>
        <v>1.8084160613094304</v>
      </c>
      <c r="AQ38" s="3">
        <f ca="1">INDIRECT(ADDRESS(38,14))</f>
        <v>70692.032366999993</v>
      </c>
      <c r="AR38" s="4">
        <f ca="1">IFERROR(INDIRECT(ADDRESS(38,14)) / INDIRECT(ADDRESS(41,14)),0)</f>
        <v>1.6578865952526635E-3</v>
      </c>
      <c r="AS38" s="4">
        <f ca="1">IFERROR((INDIRECT(ADDRESS(38,14)) - INDIRECT(ADDRESS(38,3)))/ INDIRECT(ADDRESS(38,3)),1)</f>
        <v>2.6998186795594687</v>
      </c>
      <c r="AT38" s="3">
        <f ca="1">INDIRECT(ADDRESS(38,19))</f>
        <v>74810.465744000001</v>
      </c>
      <c r="AU38" s="4">
        <f ca="1">IFERROR(INDIRECT(ADDRESS(38,19)) / INDIRECT(ADDRESS(41,19)),0)</f>
        <v>1.768111188443532E-3</v>
      </c>
      <c r="AV38" s="4">
        <f ca="1">IFERROR((INDIRECT(ADDRESS(38,19)) - INDIRECT(ADDRESS(38,3)))/ INDIRECT(ADDRESS(38,3)),1)</f>
        <v>2.9153656970739754</v>
      </c>
      <c r="AW38" s="3">
        <f ca="1">INDIRECT(ADDRESS(38,24))</f>
        <v>75903.037503</v>
      </c>
      <c r="AX38" s="4">
        <f ca="1">IFERROR(INDIRECT(ADDRESS(38,24)) / INDIRECT(ADDRESS(41,24)),0)</f>
        <v>1.7856217736592443E-3</v>
      </c>
      <c r="AY38" s="4">
        <f ca="1">IFERROR((INDIRECT(ADDRESS(38,24)) - INDIRECT(ADDRESS(38,3)))/ INDIRECT(ADDRESS(38,3)),1)</f>
        <v>2.9725477764025414</v>
      </c>
      <c r="AZ38" s="3">
        <f ca="1">INDIRECT(ADDRESS(38,29))</f>
        <v>77693.624892000007</v>
      </c>
      <c r="BA38" s="4">
        <f ca="1">IFERROR(INDIRECT(ADDRESS(38,29)) / INDIRECT(ADDRESS(41,29)),0)</f>
        <v>1.8147070149673857E-3</v>
      </c>
      <c r="BB38" s="4">
        <f ca="1">IFERROR((INDIRECT(ADDRESS(38,29)) - INDIRECT(ADDRESS(38,3)))/ INDIRECT(ADDRESS(38,3)),1)</f>
        <v>3.0662619963419644</v>
      </c>
      <c r="BC38" s="3">
        <f ca="1">INDIRECT(ADDRESS(38,34))</f>
        <v>80828.007649000006</v>
      </c>
      <c r="BD38" s="4">
        <f ca="1">IFERROR(INDIRECT(ADDRESS(38,34)) / INDIRECT(ADDRESS(41,34)),0)</f>
        <v>1.8598228643099931E-3</v>
      </c>
      <c r="BE38" s="4">
        <f ca="1">IFERROR((INDIRECT(ADDRESS(38,34)) - INDIRECT(ADDRESS(38,3)))/ INDIRECT(ADDRESS(38,3)),1)</f>
        <v>3.2303066203956812</v>
      </c>
    </row>
    <row r="39" spans="1:57" x14ac:dyDescent="0.25">
      <c r="A39" s="5"/>
      <c r="B39" s="1" t="s">
        <v>45</v>
      </c>
      <c r="C39">
        <v>7872484.352</v>
      </c>
      <c r="D39">
        <v>7872484.352</v>
      </c>
      <c r="E39">
        <v>7872484.352</v>
      </c>
      <c r="F39">
        <v>7872484.352</v>
      </c>
      <c r="G39">
        <v>7872484.352</v>
      </c>
      <c r="H39">
        <v>7872484.352</v>
      </c>
      <c r="I39">
        <v>7872484.352</v>
      </c>
      <c r="J39">
        <v>7872484.352</v>
      </c>
      <c r="K39">
        <v>7872484.352</v>
      </c>
      <c r="L39">
        <v>7872484.352</v>
      </c>
      <c r="M39">
        <v>7872484.352</v>
      </c>
      <c r="N39">
        <v>7872484.352</v>
      </c>
      <c r="O39">
        <v>7872484.352</v>
      </c>
      <c r="P39">
        <v>7872484.352</v>
      </c>
      <c r="Q39">
        <v>7872484.352</v>
      </c>
      <c r="R39">
        <v>7872484.352</v>
      </c>
      <c r="S39">
        <v>7872484.352</v>
      </c>
      <c r="T39">
        <v>7872484.352</v>
      </c>
      <c r="U39">
        <v>7872484.352</v>
      </c>
      <c r="V39">
        <v>7872484.352</v>
      </c>
      <c r="W39">
        <v>7872484.352</v>
      </c>
      <c r="X39">
        <v>7872484.352</v>
      </c>
      <c r="Y39">
        <v>7872484.352</v>
      </c>
      <c r="Z39">
        <v>7872484.352</v>
      </c>
      <c r="AA39">
        <v>7872484.352</v>
      </c>
      <c r="AB39">
        <v>7872484.352</v>
      </c>
      <c r="AC39">
        <v>7872484.352</v>
      </c>
      <c r="AD39">
        <v>7872484.352</v>
      </c>
      <c r="AE39">
        <v>7872484.352</v>
      </c>
      <c r="AF39">
        <v>7872484.352</v>
      </c>
      <c r="AG39">
        <v>7872484.352</v>
      </c>
      <c r="AH39">
        <v>7872484.352</v>
      </c>
      <c r="AK39" s="3" t="str">
        <f ca="1">INDIRECT(ADDRESS(39,2))</f>
        <v>Jet Fuel</v>
      </c>
      <c r="AL39" s="3">
        <f ca="1">INDIRECT(ADDRESS(39,3))</f>
        <v>7872484.352</v>
      </c>
      <c r="AM39" s="4">
        <f ca="1">IFERROR(INDIRECT(ADDRESS(39,3)) / INDIRECT(ADDRESS(41,3)),0)</f>
        <v>0.1626459374564708</v>
      </c>
      <c r="AN39" s="3">
        <f ca="1">INDIRECT(ADDRESS(39,9))</f>
        <v>7872484.352</v>
      </c>
      <c r="AO39" s="4">
        <f ca="1">IFERROR(INDIRECT(ADDRESS(39,9)) / INDIRECT(ADDRESS(41,9)),0)</f>
        <v>0.17177059107987303</v>
      </c>
      <c r="AP39" s="4">
        <f ca="1">IFERROR((INDIRECT(ADDRESS(39,9)) - INDIRECT(ADDRESS(39,3)))/ INDIRECT(ADDRESS(39,3)),1)</f>
        <v>0</v>
      </c>
      <c r="AQ39" s="3">
        <f ca="1">INDIRECT(ADDRESS(39,14))</f>
        <v>7872484.352</v>
      </c>
      <c r="AR39" s="4">
        <f ca="1">IFERROR(INDIRECT(ADDRESS(39,14)) / INDIRECT(ADDRESS(41,14)),0)</f>
        <v>0.18462740200704508</v>
      </c>
      <c r="AS39" s="4">
        <f ca="1">IFERROR((INDIRECT(ADDRESS(39,14)) - INDIRECT(ADDRESS(39,3)))/ INDIRECT(ADDRESS(39,3)),1)</f>
        <v>0</v>
      </c>
      <c r="AT39" s="3">
        <f ca="1">INDIRECT(ADDRESS(39,19))</f>
        <v>7872484.352</v>
      </c>
      <c r="AU39" s="4">
        <f ca="1">IFERROR(INDIRECT(ADDRESS(39,19)) / INDIRECT(ADDRESS(41,19)),0)</f>
        <v>0.18606257193010731</v>
      </c>
      <c r="AV39" s="4">
        <f ca="1">IFERROR((INDIRECT(ADDRESS(39,19)) - INDIRECT(ADDRESS(39,3)))/ INDIRECT(ADDRESS(39,3)),1)</f>
        <v>0</v>
      </c>
      <c r="AW39" s="3">
        <f ca="1">INDIRECT(ADDRESS(39,24))</f>
        <v>7872484.352</v>
      </c>
      <c r="AX39" s="4">
        <f ca="1">IFERROR(INDIRECT(ADDRESS(39,24)) / INDIRECT(ADDRESS(41,24)),0)</f>
        <v>0.18520048649129867</v>
      </c>
      <c r="AY39" s="4">
        <f ca="1">IFERROR((INDIRECT(ADDRESS(39,24)) - INDIRECT(ADDRESS(39,3)))/ INDIRECT(ADDRESS(39,3)),1)</f>
        <v>0</v>
      </c>
      <c r="AZ39" s="3">
        <f ca="1">INDIRECT(ADDRESS(39,29))</f>
        <v>7872484.352</v>
      </c>
      <c r="BA39" s="4">
        <f ca="1">IFERROR(INDIRECT(ADDRESS(39,29)) / INDIRECT(ADDRESS(41,29)),0)</f>
        <v>0.18387934143443996</v>
      </c>
      <c r="BB39" s="4">
        <f ca="1">IFERROR((INDIRECT(ADDRESS(39,29)) - INDIRECT(ADDRESS(39,3)))/ INDIRECT(ADDRESS(39,3)),1)</f>
        <v>0</v>
      </c>
      <c r="BC39" s="3">
        <f ca="1">INDIRECT(ADDRESS(39,34))</f>
        <v>7872484.352</v>
      </c>
      <c r="BD39" s="4">
        <f ca="1">IFERROR(INDIRECT(ADDRESS(39,34)) / INDIRECT(ADDRESS(41,34)),0)</f>
        <v>0.18114298276846594</v>
      </c>
      <c r="BE39" s="4">
        <f ca="1">IFERROR((INDIRECT(ADDRESS(39,34)) - INDIRECT(ADDRESS(39,3)))/ INDIRECT(ADDRESS(39,3)),1)</f>
        <v>0</v>
      </c>
    </row>
    <row r="40" spans="1:57" x14ac:dyDescent="0.25">
      <c r="A40" s="5"/>
      <c r="B40" s="1" t="s">
        <v>46</v>
      </c>
      <c r="C40">
        <v>10900.915784000001</v>
      </c>
      <c r="D40">
        <v>10900.915784000001</v>
      </c>
      <c r="E40">
        <v>10900.915784000001</v>
      </c>
      <c r="F40">
        <v>10900.915784000001</v>
      </c>
      <c r="G40">
        <v>10900.915784000001</v>
      </c>
      <c r="H40">
        <v>10900.915784000001</v>
      </c>
      <c r="I40">
        <v>10900.915784000001</v>
      </c>
      <c r="J40">
        <v>10900.915784000001</v>
      </c>
      <c r="K40">
        <v>10900.915784000001</v>
      </c>
      <c r="L40">
        <v>10900.915784000001</v>
      </c>
      <c r="M40">
        <v>10900.915784000001</v>
      </c>
      <c r="N40">
        <v>10900.915784000001</v>
      </c>
      <c r="O40">
        <v>10900.915784000001</v>
      </c>
      <c r="P40">
        <v>10900.915784000001</v>
      </c>
      <c r="Q40">
        <v>10900.915784000001</v>
      </c>
      <c r="R40">
        <v>10900.915784000001</v>
      </c>
      <c r="S40">
        <v>10900.915784000001</v>
      </c>
      <c r="T40">
        <v>10900.915784000001</v>
      </c>
      <c r="U40">
        <v>10900.915784000001</v>
      </c>
      <c r="V40">
        <v>10900.915784000001</v>
      </c>
      <c r="W40">
        <v>10900.915784000001</v>
      </c>
      <c r="X40">
        <v>10900.915784000001</v>
      </c>
      <c r="Y40">
        <v>10900.915784000001</v>
      </c>
      <c r="Z40">
        <v>10900.915784000001</v>
      </c>
      <c r="AA40">
        <v>10900.915784000001</v>
      </c>
      <c r="AB40">
        <v>10900.915784000001</v>
      </c>
      <c r="AC40">
        <v>10900.915784000001</v>
      </c>
      <c r="AD40">
        <v>10900.915784000001</v>
      </c>
      <c r="AE40">
        <v>10900.915784000001</v>
      </c>
      <c r="AF40">
        <v>10900.915784000001</v>
      </c>
      <c r="AG40">
        <v>10900.915784000001</v>
      </c>
      <c r="AH40">
        <v>10900.915784000001</v>
      </c>
      <c r="AK40" s="3" t="str">
        <f ca="1">INDIRECT(ADDRESS(40,2))</f>
        <v>Natural Gas</v>
      </c>
      <c r="AL40" s="3">
        <f ca="1">INDIRECT(ADDRESS(40,3))</f>
        <v>10900.915784000001</v>
      </c>
      <c r="AM40" s="4">
        <f ca="1">IFERROR(INDIRECT(ADDRESS(40,3)) / INDIRECT(ADDRESS(41,3)),0)</f>
        <v>2.2521348884895433E-4</v>
      </c>
      <c r="AN40" s="3">
        <f ca="1">INDIRECT(ADDRESS(40,9))</f>
        <v>10900.915784000001</v>
      </c>
      <c r="AO40" s="4">
        <f ca="1">IFERROR(INDIRECT(ADDRESS(40,9)) / INDIRECT(ADDRESS(41,9)),0)</f>
        <v>2.3784826540225524E-4</v>
      </c>
      <c r="AP40" s="4">
        <f ca="1">IFERROR((INDIRECT(ADDRESS(40,9)) - INDIRECT(ADDRESS(40,3)))/ INDIRECT(ADDRESS(40,3)),1)</f>
        <v>0</v>
      </c>
      <c r="AQ40" s="3">
        <f ca="1">INDIRECT(ADDRESS(40,14))</f>
        <v>10900.915784000001</v>
      </c>
      <c r="AR40" s="4">
        <f ca="1">IFERROR(INDIRECT(ADDRESS(40,14)) / INDIRECT(ADDRESS(41,14)),0)</f>
        <v>2.5565090646210168E-4</v>
      </c>
      <c r="AS40" s="4">
        <f ca="1">IFERROR((INDIRECT(ADDRESS(40,14)) - INDIRECT(ADDRESS(40,3)))/ INDIRECT(ADDRESS(40,3)),1)</f>
        <v>0</v>
      </c>
      <c r="AT40" s="3">
        <f ca="1">INDIRECT(ADDRESS(40,19))</f>
        <v>10900.915784000001</v>
      </c>
      <c r="AU40" s="4">
        <f ca="1">IFERROR(INDIRECT(ADDRESS(40,19)) / INDIRECT(ADDRESS(41,19)),0)</f>
        <v>2.5763816560007085E-4</v>
      </c>
      <c r="AV40" s="4">
        <f ca="1">IFERROR((INDIRECT(ADDRESS(40,19)) - INDIRECT(ADDRESS(40,3)))/ INDIRECT(ADDRESS(40,3)),1)</f>
        <v>0</v>
      </c>
      <c r="AW40" s="3">
        <f ca="1">INDIRECT(ADDRESS(40,24))</f>
        <v>10900.915784000001</v>
      </c>
      <c r="AX40" s="4">
        <f ca="1">IFERROR(INDIRECT(ADDRESS(40,24)) / INDIRECT(ADDRESS(41,24)),0)</f>
        <v>2.5644444829980357E-4</v>
      </c>
      <c r="AY40" s="4">
        <f ca="1">IFERROR((INDIRECT(ADDRESS(40,24)) - INDIRECT(ADDRESS(40,3)))/ INDIRECT(ADDRESS(40,3)),1)</f>
        <v>0</v>
      </c>
      <c r="AZ40" s="3">
        <f ca="1">INDIRECT(ADDRESS(40,29))</f>
        <v>10900.915784000001</v>
      </c>
      <c r="BA40" s="4">
        <f ca="1">IFERROR(INDIRECT(ADDRESS(40,29)) / INDIRECT(ADDRESS(41,29)),0)</f>
        <v>2.5461507775305793E-4</v>
      </c>
      <c r="BB40" s="4">
        <f ca="1">IFERROR((INDIRECT(ADDRESS(40,29)) - INDIRECT(ADDRESS(40,3)))/ INDIRECT(ADDRESS(40,3)),1)</f>
        <v>0</v>
      </c>
      <c r="BC40" s="3">
        <f ca="1">INDIRECT(ADDRESS(40,34))</f>
        <v>10900.915784000001</v>
      </c>
      <c r="BD40" s="4">
        <f ca="1">IFERROR(INDIRECT(ADDRESS(40,34)) / INDIRECT(ADDRESS(41,34)),0)</f>
        <v>2.5082608128906072E-4</v>
      </c>
      <c r="BE40" s="4">
        <f ca="1">IFERROR((INDIRECT(ADDRESS(40,34)) - INDIRECT(ADDRESS(40,3)))/ INDIRECT(ADDRESS(40,3)),1)</f>
        <v>0</v>
      </c>
    </row>
    <row r="41" spans="1:57" x14ac:dyDescent="0.25">
      <c r="A41" s="1" t="s">
        <v>21</v>
      </c>
      <c r="B41" s="1"/>
      <c r="C41">
        <v>48402588.316151001</v>
      </c>
      <c r="D41">
        <v>47827030.051930986</v>
      </c>
      <c r="E41">
        <v>47830596.298178993</v>
      </c>
      <c r="F41">
        <v>47596559.758052997</v>
      </c>
      <c r="G41">
        <v>47435743.648103997</v>
      </c>
      <c r="H41">
        <v>47038978.330510996</v>
      </c>
      <c r="I41">
        <v>45831386.516795002</v>
      </c>
      <c r="J41">
        <v>45151477.080537997</v>
      </c>
      <c r="K41">
        <v>44409426.765644997</v>
      </c>
      <c r="L41">
        <v>43673122.809098013</v>
      </c>
      <c r="M41">
        <v>43026629.264275998</v>
      </c>
      <c r="N41">
        <v>42639847.966335997</v>
      </c>
      <c r="O41">
        <v>42419399.54569</v>
      </c>
      <c r="P41">
        <v>42354132.220820002</v>
      </c>
      <c r="Q41">
        <v>42362989.04665</v>
      </c>
      <c r="R41">
        <v>42253916.063537002</v>
      </c>
      <c r="S41">
        <v>42310950.936210997</v>
      </c>
      <c r="T41">
        <v>42325667.236492001</v>
      </c>
      <c r="U41">
        <v>42338862.986478999</v>
      </c>
      <c r="V41">
        <v>42365078.718211003</v>
      </c>
      <c r="W41">
        <v>42422641.770436987</v>
      </c>
      <c r="X41">
        <v>42507903.198028997</v>
      </c>
      <c r="Y41">
        <v>42574202.925690003</v>
      </c>
      <c r="Z41">
        <v>42632012.453723997</v>
      </c>
      <c r="AA41">
        <v>42685388.788057998</v>
      </c>
      <c r="AB41">
        <v>42743546.740372002</v>
      </c>
      <c r="AC41">
        <v>42813316.007044993</v>
      </c>
      <c r="AD41">
        <v>42901543.419941999</v>
      </c>
      <c r="AE41">
        <v>43011426.754516996</v>
      </c>
      <c r="AF41">
        <v>43144103.409061</v>
      </c>
      <c r="AG41">
        <v>43297141.727076001</v>
      </c>
      <c r="AH41">
        <v>43460056.976441003</v>
      </c>
    </row>
    <row r="44" spans="1:57" x14ac:dyDescent="0.25">
      <c r="A44" s="1" t="s">
        <v>0</v>
      </c>
      <c r="B44" s="1" t="s">
        <v>138</v>
      </c>
      <c r="C44" s="1">
        <v>2019</v>
      </c>
      <c r="D44" s="1">
        <v>2020</v>
      </c>
      <c r="E44" s="1">
        <v>2021</v>
      </c>
      <c r="F44" s="1">
        <v>2022</v>
      </c>
      <c r="G44" s="1">
        <v>2023</v>
      </c>
      <c r="H44" s="1">
        <v>2024</v>
      </c>
      <c r="I44" s="1">
        <v>2025</v>
      </c>
      <c r="J44" s="1">
        <v>2026</v>
      </c>
      <c r="K44" s="1">
        <v>2027</v>
      </c>
      <c r="L44" s="1">
        <v>2028</v>
      </c>
      <c r="M44" s="1">
        <v>2029</v>
      </c>
      <c r="N44" s="1">
        <v>2030</v>
      </c>
      <c r="O44" s="1">
        <v>2031</v>
      </c>
      <c r="P44" s="1">
        <v>2032</v>
      </c>
      <c r="Q44" s="1">
        <v>2033</v>
      </c>
      <c r="R44" s="1">
        <v>2034</v>
      </c>
      <c r="S44" s="1">
        <v>2035</v>
      </c>
      <c r="T44" s="1">
        <v>2036</v>
      </c>
      <c r="U44" s="1">
        <v>2037</v>
      </c>
      <c r="V44" s="1">
        <v>2038</v>
      </c>
      <c r="W44" s="1">
        <v>2039</v>
      </c>
      <c r="X44" s="1">
        <v>2040</v>
      </c>
      <c r="Y44" s="1">
        <v>2041</v>
      </c>
      <c r="Z44" s="1">
        <v>2042</v>
      </c>
      <c r="AA44" s="1">
        <v>2043</v>
      </c>
      <c r="AB44" s="1">
        <v>2044</v>
      </c>
      <c r="AC44" s="1">
        <v>2045</v>
      </c>
      <c r="AD44" s="1">
        <v>2046</v>
      </c>
      <c r="AE44" s="1">
        <v>2047</v>
      </c>
      <c r="AF44" s="1">
        <v>2048</v>
      </c>
      <c r="AG44" s="1">
        <v>2049</v>
      </c>
      <c r="AH44" s="1">
        <v>2050</v>
      </c>
      <c r="AL44" s="2">
        <f ca="1">INDIRECT(ADDRESS(44,3))</f>
        <v>2019</v>
      </c>
      <c r="AM44" s="2" t="str">
        <f ca="1">CONCATENATE(INDIRECT(ADDRESS(44,3))," Share")</f>
        <v>2019 Share</v>
      </c>
      <c r="AN44" s="2">
        <f ca="1">INDIRECT(ADDRESS(44,9))</f>
        <v>2025</v>
      </c>
      <c r="AO44" s="2" t="str">
        <f ca="1">CONCATENATE(INDIRECT(ADDRESS(44,9))," Share")</f>
        <v>2025 Share</v>
      </c>
      <c r="AP44" s="2" t="str">
        <f ca="1">CONCATENATE("% change ",INDIRECT(ADDRESS(44,3)),"-",INDIRECT(ADDRESS(44,9)))</f>
        <v>% change 2019-2025</v>
      </c>
      <c r="AQ44" s="2">
        <f ca="1">INDIRECT(ADDRESS(44,14))</f>
        <v>2030</v>
      </c>
      <c r="AR44" s="2" t="str">
        <f ca="1">CONCATENATE(INDIRECT(ADDRESS(44,14))," Share")</f>
        <v>2030 Share</v>
      </c>
      <c r="AS44" s="2" t="str">
        <f ca="1">CONCATENATE("% change ",INDIRECT(ADDRESS(44,3)),"-",INDIRECT(ADDRESS(44,14)))</f>
        <v>% change 2019-2030</v>
      </c>
      <c r="AT44" s="2">
        <f ca="1">INDIRECT(ADDRESS(44,19))</f>
        <v>2035</v>
      </c>
      <c r="AU44" s="2" t="str">
        <f ca="1">CONCATENATE(INDIRECT(ADDRESS(44,19))," Share")</f>
        <v>2035 Share</v>
      </c>
      <c r="AV44" s="2" t="str">
        <f ca="1">CONCATENATE("% change ",INDIRECT(ADDRESS(44,3)),"-",INDIRECT(ADDRESS(44,19)))</f>
        <v>% change 2019-2035</v>
      </c>
      <c r="AW44" s="2">
        <f ca="1">INDIRECT(ADDRESS(44,24))</f>
        <v>2040</v>
      </c>
      <c r="AX44" s="2" t="str">
        <f ca="1">CONCATENATE(INDIRECT(ADDRESS(44,24))," Share")</f>
        <v>2040 Share</v>
      </c>
      <c r="AY44" s="2" t="str">
        <f ca="1">CONCATENATE("% change ",INDIRECT(ADDRESS(44,3)),"-",INDIRECT(ADDRESS(44,24)))</f>
        <v>% change 2019-2040</v>
      </c>
      <c r="AZ44" s="2">
        <f ca="1">INDIRECT(ADDRESS(44,29))</f>
        <v>2045</v>
      </c>
      <c r="BA44" s="2" t="str">
        <f ca="1">CONCATENATE(INDIRECT(ADDRESS(44,29))," Share")</f>
        <v>2045 Share</v>
      </c>
      <c r="BB44" s="2" t="str">
        <f ca="1">CONCATENATE("% change ",INDIRECT(ADDRESS(44,3)),"-",INDIRECT(ADDRESS(44,29)))</f>
        <v>% change 2019-2045</v>
      </c>
      <c r="BC44" s="2">
        <f ca="1">INDIRECT(ADDRESS(44,34))</f>
        <v>2050</v>
      </c>
      <c r="BD44" s="2" t="str">
        <f ca="1">CONCATENATE(INDIRECT(ADDRESS(44,34))," Share")</f>
        <v>2050 Share</v>
      </c>
      <c r="BE44" s="2" t="str">
        <f ca="1">CONCATENATE("% change ",INDIRECT(ADDRESS(44,3)),"-",INDIRECT(ADDRESS(44,34)))</f>
        <v>% change 2019-2050</v>
      </c>
    </row>
    <row r="45" spans="1:57" x14ac:dyDescent="0.25">
      <c r="A45" s="5" t="s">
        <v>5</v>
      </c>
      <c r="B45" s="1" t="s">
        <v>169</v>
      </c>
      <c r="C45">
        <v>7872484.352</v>
      </c>
      <c r="D45">
        <v>7872484.352</v>
      </c>
      <c r="E45">
        <v>7785012.07424</v>
      </c>
      <c r="F45">
        <v>7697540.2657160005</v>
      </c>
      <c r="G45">
        <v>7610068.4571930002</v>
      </c>
      <c r="H45">
        <v>7522596.1794330003</v>
      </c>
      <c r="I45">
        <v>7435123.9016730003</v>
      </c>
      <c r="J45">
        <v>7347652.0931489998</v>
      </c>
      <c r="K45">
        <v>7260180.2846259996</v>
      </c>
      <c r="L45">
        <v>7172708.0068650004</v>
      </c>
      <c r="M45">
        <v>7085235.7291050004</v>
      </c>
      <c r="N45">
        <v>6997763.9205820002</v>
      </c>
      <c r="O45">
        <v>6910292.1120579997</v>
      </c>
      <c r="P45">
        <v>6822819.8342979997</v>
      </c>
      <c r="Q45">
        <v>6735347.5565379998</v>
      </c>
      <c r="R45">
        <v>6647875.7480149996</v>
      </c>
      <c r="S45">
        <v>6560403.939491</v>
      </c>
      <c r="T45">
        <v>6472931.6617310001</v>
      </c>
      <c r="U45">
        <v>6385459.3839710001</v>
      </c>
      <c r="V45">
        <v>6297987.5754469996</v>
      </c>
      <c r="W45">
        <v>6297987.5754469996</v>
      </c>
      <c r="X45">
        <v>6297987.5754469996</v>
      </c>
      <c r="Y45">
        <v>6297987.5754469996</v>
      </c>
      <c r="Z45">
        <v>6297987.5754469996</v>
      </c>
      <c r="AA45">
        <v>6297987.5754469996</v>
      </c>
      <c r="AB45">
        <v>6297987.5754469996</v>
      </c>
      <c r="AC45">
        <v>6297987.5754469996</v>
      </c>
      <c r="AD45">
        <v>6297987.5754469996</v>
      </c>
      <c r="AE45">
        <v>6297987.5754469996</v>
      </c>
      <c r="AF45">
        <v>6297987.5754469996</v>
      </c>
      <c r="AG45">
        <v>6297987.5754469996</v>
      </c>
      <c r="AH45">
        <v>6297987.5754469996</v>
      </c>
      <c r="AK45" s="3" t="str">
        <f ca="1">INDIRECT(ADDRESS(45,2))</f>
        <v>Aviation</v>
      </c>
      <c r="AL45" s="3">
        <f ca="1">INDIRECT(ADDRESS(45,3))</f>
        <v>7872484.352</v>
      </c>
      <c r="AM45" s="4">
        <f ca="1">IFERROR(INDIRECT(ADDRESS(45,3)) / INDIRECT(ADDRESS(52,3)),0)</f>
        <v>0.16264593745647082</v>
      </c>
      <c r="AN45" s="3">
        <f ca="1">INDIRECT(ADDRESS(45,9))</f>
        <v>7435123.9016730003</v>
      </c>
      <c r="AO45" s="4">
        <f ca="1">IFERROR(INDIRECT(ADDRESS(45,9)) / INDIRECT(ADDRESS(52,9)),0)</f>
        <v>0.20234938889156254</v>
      </c>
      <c r="AP45" s="4">
        <f ca="1">IFERROR((INDIRECT(ADDRESS(45,9)) - INDIRECT(ADDRESS(45,3)))/ INDIRECT(ADDRESS(45,3)),1)</f>
        <v>-5.5555582046458878E-2</v>
      </c>
      <c r="AQ45" s="3">
        <f ca="1">INDIRECT(ADDRESS(45,14))</f>
        <v>6997763.9205820002</v>
      </c>
      <c r="AR45" s="4">
        <f ca="1">IFERROR(INDIRECT(ADDRESS(45,14)) / INDIRECT(ADDRESS(52,14)),0)</f>
        <v>0.28237109746532224</v>
      </c>
      <c r="AS45" s="4">
        <f ca="1">IFERROR((INDIRECT(ADDRESS(45,14)) - INDIRECT(ADDRESS(45,3)))/ INDIRECT(ADDRESS(45,3)),1)</f>
        <v>-0.11111110448835348</v>
      </c>
      <c r="AT45" s="3">
        <f ca="1">INDIRECT(ADDRESS(45,19))</f>
        <v>6560403.939491</v>
      </c>
      <c r="AU45" s="4">
        <f ca="1">IFERROR(INDIRECT(ADDRESS(45,19)) / INDIRECT(ADDRESS(52,19)),0)</f>
        <v>0.40186469819277998</v>
      </c>
      <c r="AV45" s="4">
        <f ca="1">IFERROR((INDIRECT(ADDRESS(45,19)) - INDIRECT(ADDRESS(45,3)))/ INDIRECT(ADDRESS(45,3)),1)</f>
        <v>-0.16666662693024809</v>
      </c>
      <c r="AW45" s="3">
        <f ca="1">INDIRECT(ADDRESS(45,24))</f>
        <v>6297987.5754469996</v>
      </c>
      <c r="AX45" s="4">
        <f ca="1">IFERROR(INDIRECT(ADDRESS(45,24)) / INDIRECT(ADDRESS(52,24)),0)</f>
        <v>0.52554875854686067</v>
      </c>
      <c r="AY45" s="4">
        <f ca="1">IFERROR((INDIRECT(ADDRESS(45,24)) - INDIRECT(ADDRESS(45,3)))/ INDIRECT(ADDRESS(45,3)),1)</f>
        <v>-0.19999998807911257</v>
      </c>
      <c r="AZ45" s="3">
        <f ca="1">INDIRECT(ADDRESS(45,29))</f>
        <v>6297987.5754469996</v>
      </c>
      <c r="BA45" s="4">
        <f ca="1">IFERROR(INDIRECT(ADDRESS(45,29)) / INDIRECT(ADDRESS(52,29)),0)</f>
        <v>0.62901051972238287</v>
      </c>
      <c r="BB45" s="4">
        <f ca="1">IFERROR((INDIRECT(ADDRESS(45,29)) - INDIRECT(ADDRESS(45,3)))/ INDIRECT(ADDRESS(45,3)),1)</f>
        <v>-0.19999998807911257</v>
      </c>
      <c r="BC45" s="3">
        <f ca="1">INDIRECT(ADDRESS(45,34))</f>
        <v>6297987.5754469996</v>
      </c>
      <c r="BD45" s="4">
        <f ca="1">IFERROR(INDIRECT(ADDRESS(45,34)) / INDIRECT(ADDRESS(52,34)),0)</f>
        <v>0.69143536916477077</v>
      </c>
      <c r="BE45" s="4">
        <f ca="1">IFERROR((INDIRECT(ADDRESS(45,34)) - INDIRECT(ADDRESS(45,3)))/ INDIRECT(ADDRESS(45,3)),1)</f>
        <v>-0.19999998807911257</v>
      </c>
    </row>
    <row r="46" spans="1:57" x14ac:dyDescent="0.25">
      <c r="A46" s="5"/>
      <c r="B46" s="1" t="s">
        <v>139</v>
      </c>
      <c r="C46">
        <v>8422611.7638140004</v>
      </c>
      <c r="D46">
        <v>8778303.0558250006</v>
      </c>
      <c r="E46">
        <v>8465286.1794109996</v>
      </c>
      <c r="F46">
        <v>8163460.2546429997</v>
      </c>
      <c r="G46">
        <v>7834804.4721959997</v>
      </c>
      <c r="H46">
        <v>7411360.960469</v>
      </c>
      <c r="I46">
        <v>6476263.1615700005</v>
      </c>
      <c r="J46">
        <v>5927582.6576300003</v>
      </c>
      <c r="K46">
        <v>5302544.9836959997</v>
      </c>
      <c r="L46">
        <v>4665866.4670670005</v>
      </c>
      <c r="M46">
        <v>4060327.2529079998</v>
      </c>
      <c r="N46">
        <v>3548580.6668230002</v>
      </c>
      <c r="O46">
        <v>3168196.8347450001</v>
      </c>
      <c r="P46">
        <v>2859048.5848059999</v>
      </c>
      <c r="Q46">
        <v>2581002.309169</v>
      </c>
      <c r="R46">
        <v>2249797.2519069999</v>
      </c>
      <c r="S46">
        <v>1995280.452884</v>
      </c>
      <c r="T46">
        <v>1734529.870478</v>
      </c>
      <c r="U46">
        <v>1469060.4260229999</v>
      </c>
      <c r="V46">
        <v>1217599.6706379999</v>
      </c>
      <c r="W46">
        <v>1005409.050617</v>
      </c>
      <c r="X46">
        <v>818736.00122600002</v>
      </c>
      <c r="Y46">
        <v>655618.38158499997</v>
      </c>
      <c r="Z46">
        <v>509431.76028799999</v>
      </c>
      <c r="AA46">
        <v>385057.88088200003</v>
      </c>
      <c r="AB46">
        <v>283336.15640500002</v>
      </c>
      <c r="AC46">
        <v>202372.933357</v>
      </c>
      <c r="AD46">
        <v>143450.964125</v>
      </c>
      <c r="AE46">
        <v>101855.201822</v>
      </c>
      <c r="AF46">
        <v>74826.818643000006</v>
      </c>
      <c r="AG46">
        <v>59103.604269000003</v>
      </c>
      <c r="AH46">
        <v>50887.952905999999</v>
      </c>
      <c r="AK46" s="3" t="str">
        <f ca="1">INDIRECT(ADDRESS(46,2))</f>
        <v>Car</v>
      </c>
      <c r="AL46" s="3">
        <f ca="1">INDIRECT(ADDRESS(46,3))</f>
        <v>8422611.7638140004</v>
      </c>
      <c r="AM46" s="4">
        <f ca="1">IFERROR(INDIRECT(ADDRESS(46,3)) / INDIRECT(ADDRESS(52,3)),0)</f>
        <v>0.1740115984872557</v>
      </c>
      <c r="AN46" s="3">
        <f ca="1">INDIRECT(ADDRESS(46,9))</f>
        <v>6476263.1615700005</v>
      </c>
      <c r="AO46" s="4">
        <f ca="1">IFERROR(INDIRECT(ADDRESS(46,9)) / INDIRECT(ADDRESS(52,9)),0)</f>
        <v>0.17625367248416074</v>
      </c>
      <c r="AP46" s="4">
        <f ca="1">IFERROR((INDIRECT(ADDRESS(46,9)) - INDIRECT(ADDRESS(46,3)))/ INDIRECT(ADDRESS(46,3)),1)</f>
        <v>-0.23108611162704684</v>
      </c>
      <c r="AQ46" s="3">
        <f ca="1">INDIRECT(ADDRESS(46,14))</f>
        <v>3548580.6668230002</v>
      </c>
      <c r="AR46" s="4">
        <f ca="1">IFERROR(INDIRECT(ADDRESS(46,14)) / INDIRECT(ADDRESS(52,14)),0)</f>
        <v>0.14319097196003985</v>
      </c>
      <c r="AS46" s="4">
        <f ca="1">IFERROR((INDIRECT(ADDRESS(46,14)) - INDIRECT(ADDRESS(46,3)))/ INDIRECT(ADDRESS(46,3)),1)</f>
        <v>-0.57868405117890642</v>
      </c>
      <c r="AT46" s="3">
        <f ca="1">INDIRECT(ADDRESS(46,19))</f>
        <v>1995280.452884</v>
      </c>
      <c r="AU46" s="4">
        <f ca="1">IFERROR(INDIRECT(ADDRESS(46,19)) / INDIRECT(ADDRESS(52,19)),0)</f>
        <v>0.1222230802255133</v>
      </c>
      <c r="AV46" s="4">
        <f ca="1">IFERROR((INDIRECT(ADDRESS(46,19)) - INDIRECT(ADDRESS(46,3)))/ INDIRECT(ADDRESS(46,3)),1)</f>
        <v>-0.76310430673579099</v>
      </c>
      <c r="AW46" s="3">
        <f ca="1">INDIRECT(ADDRESS(46,24))</f>
        <v>818736.00122600002</v>
      </c>
      <c r="AX46" s="4">
        <f ca="1">IFERROR(INDIRECT(ADDRESS(46,24)) / INDIRECT(ADDRESS(52,24)),0)</f>
        <v>6.8321139708092504E-2</v>
      </c>
      <c r="AY46" s="4">
        <f ca="1">IFERROR((INDIRECT(ADDRESS(46,24)) - INDIRECT(ADDRESS(46,3)))/ INDIRECT(ADDRESS(46,3)),1)</f>
        <v>-0.90279309741622793</v>
      </c>
      <c r="AZ46" s="3">
        <f ca="1">INDIRECT(ADDRESS(46,29))</f>
        <v>202372.933357</v>
      </c>
      <c r="BA46" s="4">
        <f ca="1">IFERROR(INDIRECT(ADDRESS(46,29)) / INDIRECT(ADDRESS(52,29)),0)</f>
        <v>2.0211964927478437E-2</v>
      </c>
      <c r="BB46" s="4">
        <f ca="1">IFERROR((INDIRECT(ADDRESS(46,29)) - INDIRECT(ADDRESS(46,3)))/ INDIRECT(ADDRESS(46,3)),1)</f>
        <v>-0.97597266275213423</v>
      </c>
      <c r="BC46" s="3">
        <f ca="1">INDIRECT(ADDRESS(46,34))</f>
        <v>50887.952905999999</v>
      </c>
      <c r="BD46" s="4">
        <f ca="1">IFERROR(INDIRECT(ADDRESS(46,34)) / INDIRECT(ADDRESS(52,34)),0)</f>
        <v>5.5868211999612069E-3</v>
      </c>
      <c r="BE46" s="4">
        <f ca="1">IFERROR((INDIRECT(ADDRESS(46,34)) - INDIRECT(ADDRESS(46,3)))/ INDIRECT(ADDRESS(46,3)),1)</f>
        <v>-0.993958174218046</v>
      </c>
    </row>
    <row r="47" spans="1:57" x14ac:dyDescent="0.25">
      <c r="A47" s="5"/>
      <c r="B47" s="1" t="s">
        <v>140</v>
      </c>
      <c r="C47">
        <v>18055216.234627001</v>
      </c>
      <c r="D47">
        <v>16504911.261417</v>
      </c>
      <c r="E47">
        <v>15288520.170885</v>
      </c>
      <c r="F47">
        <v>14128876.577988001</v>
      </c>
      <c r="G47">
        <v>13019398.679794</v>
      </c>
      <c r="H47">
        <v>11960490.298528001</v>
      </c>
      <c r="I47">
        <v>10531582.09169</v>
      </c>
      <c r="J47">
        <v>9443292.9754790012</v>
      </c>
      <c r="K47">
        <v>8407742.4684309997</v>
      </c>
      <c r="L47">
        <v>7435126.3064670004</v>
      </c>
      <c r="M47">
        <v>6519672.6110410001</v>
      </c>
      <c r="N47">
        <v>5662126.9781170003</v>
      </c>
      <c r="O47">
        <v>4862823.4025900001</v>
      </c>
      <c r="P47">
        <v>4105662.6411239998</v>
      </c>
      <c r="Q47">
        <v>3384545.727467</v>
      </c>
      <c r="R47">
        <v>2694876.8907880001</v>
      </c>
      <c r="S47">
        <v>2033870.179208</v>
      </c>
      <c r="T47">
        <v>1873207.443551</v>
      </c>
      <c r="U47">
        <v>1718323.674195</v>
      </c>
      <c r="V47">
        <v>1568779.4289849999</v>
      </c>
      <c r="W47">
        <v>1441935.0363129999</v>
      </c>
      <c r="X47">
        <v>1317148.9243920001</v>
      </c>
      <c r="Y47">
        <v>1194235.0123050001</v>
      </c>
      <c r="Z47">
        <v>1071529.9320429999</v>
      </c>
      <c r="AA47">
        <v>948838.11422800005</v>
      </c>
      <c r="AB47">
        <v>826147.47981199995</v>
      </c>
      <c r="AC47">
        <v>702844.84234600002</v>
      </c>
      <c r="AD47">
        <v>589118.78064600006</v>
      </c>
      <c r="AE47">
        <v>476071.32273999997</v>
      </c>
      <c r="AF47">
        <v>363646.72673699999</v>
      </c>
      <c r="AG47">
        <v>251949.91442300001</v>
      </c>
      <c r="AH47">
        <v>140600.57557099999</v>
      </c>
      <c r="AK47" s="3" t="str">
        <f ca="1">INDIRECT(ADDRESS(47,2))</f>
        <v>Heavy Truck</v>
      </c>
      <c r="AL47" s="3">
        <f ca="1">INDIRECT(ADDRESS(47,3))</f>
        <v>18055216.234627001</v>
      </c>
      <c r="AM47" s="4">
        <f ca="1">IFERROR(INDIRECT(ADDRESS(47,3)) / INDIRECT(ADDRESS(52,3)),0)</f>
        <v>0.37302170943206214</v>
      </c>
      <c r="AN47" s="3">
        <f ca="1">INDIRECT(ADDRESS(47,9))</f>
        <v>10531582.09169</v>
      </c>
      <c r="AO47" s="4">
        <f ca="1">IFERROR(INDIRECT(ADDRESS(47,9)) / INDIRECT(ADDRESS(52,9)),0)</f>
        <v>0.28662053632156409</v>
      </c>
      <c r="AP47" s="4">
        <f ca="1">IFERROR((INDIRECT(ADDRESS(47,9)) - INDIRECT(ADDRESS(47,3)))/ INDIRECT(ADDRESS(47,3)),1)</f>
        <v>-0.41670141443711323</v>
      </c>
      <c r="AQ47" s="3">
        <f ca="1">INDIRECT(ADDRESS(47,14))</f>
        <v>5662126.9781170003</v>
      </c>
      <c r="AR47" s="4">
        <f ca="1">IFERROR(INDIRECT(ADDRESS(47,14)) / INDIRECT(ADDRESS(52,14)),0)</f>
        <v>0.22847598560683269</v>
      </c>
      <c r="AS47" s="4">
        <f ca="1">IFERROR((INDIRECT(ADDRESS(47,14)) - INDIRECT(ADDRESS(47,3)))/ INDIRECT(ADDRESS(47,3)),1)</f>
        <v>-0.68639938151181201</v>
      </c>
      <c r="AT47" s="3">
        <f ca="1">INDIRECT(ADDRESS(47,19))</f>
        <v>2033870.179208</v>
      </c>
      <c r="AU47" s="4">
        <f ca="1">IFERROR(INDIRECT(ADDRESS(47,19)) / INDIRECT(ADDRESS(52,19)),0)</f>
        <v>0.12458693599804968</v>
      </c>
      <c r="AV47" s="4">
        <f ca="1">IFERROR((INDIRECT(ADDRESS(47,19)) - INDIRECT(ADDRESS(47,3)))/ INDIRECT(ADDRESS(47,3)),1)</f>
        <v>-0.88735276538492169</v>
      </c>
      <c r="AW47" s="3">
        <f ca="1">INDIRECT(ADDRESS(47,24))</f>
        <v>1317148.9243920001</v>
      </c>
      <c r="AX47" s="4">
        <f ca="1">IFERROR(INDIRECT(ADDRESS(47,24)) / INDIRECT(ADDRESS(52,24)),0)</f>
        <v>0.10991224954685906</v>
      </c>
      <c r="AY47" s="4">
        <f ca="1">IFERROR((INDIRECT(ADDRESS(47,24)) - INDIRECT(ADDRESS(47,3)))/ INDIRECT(ADDRESS(47,3)),1)</f>
        <v>-0.92704884243557717</v>
      </c>
      <c r="AZ47" s="3">
        <f ca="1">INDIRECT(ADDRESS(47,29))</f>
        <v>702844.84234600002</v>
      </c>
      <c r="BA47" s="4">
        <f ca="1">IFERROR(INDIRECT(ADDRESS(47,29)) / INDIRECT(ADDRESS(52,29)),0)</f>
        <v>7.0196518216674303E-2</v>
      </c>
      <c r="BB47" s="4">
        <f ca="1">IFERROR((INDIRECT(ADDRESS(47,29)) - INDIRECT(ADDRESS(47,3)))/ INDIRECT(ADDRESS(47,3)),1)</f>
        <v>-0.96107247716047517</v>
      </c>
      <c r="BC47" s="3">
        <f ca="1">INDIRECT(ADDRESS(47,34))</f>
        <v>140600.57557099999</v>
      </c>
      <c r="BD47" s="4">
        <f ca="1">IFERROR(INDIRECT(ADDRESS(47,34)) / INDIRECT(ADDRESS(52,34)),0)</f>
        <v>1.5436075366949848E-2</v>
      </c>
      <c r="BE47" s="4">
        <f ca="1">IFERROR((INDIRECT(ADDRESS(47,34)) - INDIRECT(ADDRESS(47,3)))/ INDIRECT(ADDRESS(47,3)),1)</f>
        <v>-0.99221274485201949</v>
      </c>
    </row>
    <row r="48" spans="1:57" x14ac:dyDescent="0.25">
      <c r="A48" s="5"/>
      <c r="B48" s="1" t="s">
        <v>141</v>
      </c>
      <c r="C48">
        <v>8031389.0061720004</v>
      </c>
      <c r="D48">
        <v>8503585.4540870003</v>
      </c>
      <c r="E48">
        <v>8456775.3020169996</v>
      </c>
      <c r="F48">
        <v>8174034.5877139997</v>
      </c>
      <c r="G48">
        <v>7988571.55975</v>
      </c>
      <c r="H48">
        <v>7593188.7738619996</v>
      </c>
      <c r="I48">
        <v>6943016.3419369999</v>
      </c>
      <c r="J48">
        <v>6465595.6138699995</v>
      </c>
      <c r="K48">
        <v>5942970.0793359997</v>
      </c>
      <c r="L48">
        <v>5352900.7075920003</v>
      </c>
      <c r="M48">
        <v>4762083.359809</v>
      </c>
      <c r="N48">
        <v>4258550.6814059997</v>
      </c>
      <c r="O48">
        <v>3810534.0279560001</v>
      </c>
      <c r="P48">
        <v>3431122.4121849998</v>
      </c>
      <c r="Q48">
        <v>3091079.3657269999</v>
      </c>
      <c r="R48">
        <v>2688170.239451</v>
      </c>
      <c r="S48">
        <v>2372190.47321</v>
      </c>
      <c r="T48">
        <v>2054454.9389480001</v>
      </c>
      <c r="U48">
        <v>1740529.639801</v>
      </c>
      <c r="V48">
        <v>1445925.016179</v>
      </c>
      <c r="W48">
        <v>1198149.684447</v>
      </c>
      <c r="X48">
        <v>979972.642995</v>
      </c>
      <c r="Y48">
        <v>789576.36075300002</v>
      </c>
      <c r="Z48">
        <v>617425.291126</v>
      </c>
      <c r="AA48">
        <v>469381.51160299999</v>
      </c>
      <c r="AB48">
        <v>347208.11408000003</v>
      </c>
      <c r="AC48">
        <v>249162.29879</v>
      </c>
      <c r="AD48">
        <v>176923.277738</v>
      </c>
      <c r="AE48">
        <v>125222.072419</v>
      </c>
      <c r="AF48">
        <v>91067.940701</v>
      </c>
      <c r="AG48">
        <v>70850.170882000006</v>
      </c>
      <c r="AH48">
        <v>60121.440957999999</v>
      </c>
      <c r="AK48" s="3" t="str">
        <f ca="1">INDIRECT(ADDRESS(48,2))</f>
        <v>Light Truck</v>
      </c>
      <c r="AL48" s="3">
        <f ca="1">INDIRECT(ADDRESS(48,3))</f>
        <v>8031389.0061720004</v>
      </c>
      <c r="AM48" s="4">
        <f ca="1">IFERROR(INDIRECT(ADDRESS(48,3)) / INDIRECT(ADDRESS(52,3)),0)</f>
        <v>0.16592891590245978</v>
      </c>
      <c r="AN48" s="3">
        <f ca="1">INDIRECT(ADDRESS(48,9))</f>
        <v>6943016.3419369999</v>
      </c>
      <c r="AO48" s="4">
        <f ca="1">IFERROR(INDIRECT(ADDRESS(48,9)) / INDIRECT(ADDRESS(52,9)),0)</f>
        <v>0.18895651672179392</v>
      </c>
      <c r="AP48" s="4">
        <f ca="1">IFERROR((INDIRECT(ADDRESS(48,9)) - INDIRECT(ADDRESS(48,3)))/ INDIRECT(ADDRESS(48,3)),1)</f>
        <v>-0.13551487337976068</v>
      </c>
      <c r="AQ48" s="3">
        <f ca="1">INDIRECT(ADDRESS(48,14))</f>
        <v>4258550.6814059997</v>
      </c>
      <c r="AR48" s="4">
        <f ca="1">IFERROR(INDIRECT(ADDRESS(48,14)) / INDIRECT(ADDRESS(52,14)),0)</f>
        <v>0.17183941087002225</v>
      </c>
      <c r="AS48" s="4">
        <f ca="1">IFERROR((INDIRECT(ADDRESS(48,14)) - INDIRECT(ADDRESS(48,3)))/ INDIRECT(ADDRESS(48,3)),1)</f>
        <v>-0.46976162179003306</v>
      </c>
      <c r="AT48" s="3">
        <f ca="1">INDIRECT(ADDRESS(48,19))</f>
        <v>2372190.47321</v>
      </c>
      <c r="AU48" s="4">
        <f ca="1">IFERROR(INDIRECT(ADDRESS(48,19)) / INDIRECT(ADDRESS(52,19)),0)</f>
        <v>0.14531111458455223</v>
      </c>
      <c r="AV48" s="4">
        <f ca="1">IFERROR((INDIRECT(ADDRESS(48,19)) - INDIRECT(ADDRESS(48,3)))/ INDIRECT(ADDRESS(48,3)),1)</f>
        <v>-0.70463509221293996</v>
      </c>
      <c r="AW48" s="3">
        <f ca="1">INDIRECT(ADDRESS(48,24))</f>
        <v>979972.642995</v>
      </c>
      <c r="AX48" s="4">
        <f ca="1">IFERROR(INDIRECT(ADDRESS(48,24)) / INDIRECT(ADDRESS(52,24)),0)</f>
        <v>8.1775868841620303E-2</v>
      </c>
      <c r="AY48" s="4">
        <f ca="1">IFERROR((INDIRECT(ADDRESS(48,24)) - INDIRECT(ADDRESS(48,3)))/ INDIRECT(ADDRESS(48,3)),1)</f>
        <v>-0.87798217192046035</v>
      </c>
      <c r="AZ48" s="3">
        <f ca="1">INDIRECT(ADDRESS(48,29))</f>
        <v>249162.29879</v>
      </c>
      <c r="BA48" s="4">
        <f ca="1">IFERROR(INDIRECT(ADDRESS(48,29)) / INDIRECT(ADDRESS(52,29)),0)</f>
        <v>2.4885045449775746E-2</v>
      </c>
      <c r="BB48" s="4">
        <f ca="1">IFERROR((INDIRECT(ADDRESS(48,29)) - INDIRECT(ADDRESS(48,3)))/ INDIRECT(ADDRESS(48,3)),1)</f>
        <v>-0.96897643750059637</v>
      </c>
      <c r="BC48" s="3">
        <f ca="1">INDIRECT(ADDRESS(48,34))</f>
        <v>60121.440957999999</v>
      </c>
      <c r="BD48" s="4">
        <f ca="1">IFERROR(INDIRECT(ADDRESS(48,34)) / INDIRECT(ADDRESS(52,34)),0)</f>
        <v>6.6005355243277473E-3</v>
      </c>
      <c r="BE48" s="4">
        <f ca="1">IFERROR((INDIRECT(ADDRESS(48,34)) - INDIRECT(ADDRESS(48,3)))/ INDIRECT(ADDRESS(48,3)),1)</f>
        <v>-0.99251419139182562</v>
      </c>
    </row>
    <row r="49" spans="1:57" x14ac:dyDescent="0.25">
      <c r="A49" s="5"/>
      <c r="B49" s="1" t="s">
        <v>170</v>
      </c>
      <c r="C49">
        <v>5718148.28773</v>
      </c>
      <c r="D49">
        <v>5718148.28773</v>
      </c>
      <c r="E49">
        <v>5654613.1401279997</v>
      </c>
      <c r="F49">
        <v>5591078.333354</v>
      </c>
      <c r="G49">
        <v>5504562.6258640001</v>
      </c>
      <c r="H49">
        <v>5309018.0273469994</v>
      </c>
      <c r="I49">
        <v>5074955.3881529998</v>
      </c>
      <c r="J49">
        <v>4864809.2816330008</v>
      </c>
      <c r="K49">
        <v>4656946.0933370003</v>
      </c>
      <c r="L49">
        <v>4451446.7187009994</v>
      </c>
      <c r="M49">
        <v>4248487.4092880003</v>
      </c>
      <c r="N49">
        <v>4049083.7265059999</v>
      </c>
      <c r="O49">
        <v>3855286.364608</v>
      </c>
      <c r="P49">
        <v>3664812.2053439999</v>
      </c>
      <c r="Q49">
        <v>3477679.919673</v>
      </c>
      <c r="R49">
        <v>3293912.9435370001</v>
      </c>
      <c r="S49">
        <v>3113691.2361559998</v>
      </c>
      <c r="T49">
        <v>2937400.9339970001</v>
      </c>
      <c r="U49">
        <v>2764533.451562</v>
      </c>
      <c r="V49">
        <v>2595099.753488</v>
      </c>
      <c r="W49">
        <v>2462767.9828499998</v>
      </c>
      <c r="X49">
        <v>2330378.5412320001</v>
      </c>
      <c r="Y49">
        <v>2328916.507795</v>
      </c>
      <c r="Z49">
        <v>2327233.1929029999</v>
      </c>
      <c r="AA49">
        <v>2325328.1662019999</v>
      </c>
      <c r="AB49">
        <v>2323238.5823329999</v>
      </c>
      <c r="AC49">
        <v>2320846.7919350001</v>
      </c>
      <c r="AD49">
        <v>2320552.3057749998</v>
      </c>
      <c r="AE49">
        <v>2320284.934012</v>
      </c>
      <c r="AF49">
        <v>2320039.5482720002</v>
      </c>
      <c r="AG49">
        <v>2319842.0275030001</v>
      </c>
      <c r="AH49">
        <v>2319588.1010150001</v>
      </c>
      <c r="AK49" s="3" t="str">
        <f ca="1">INDIRECT(ADDRESS(49,2))</f>
        <v>Marine</v>
      </c>
      <c r="AL49" s="3">
        <f ca="1">INDIRECT(ADDRESS(49,3))</f>
        <v>5718148.28773</v>
      </c>
      <c r="AM49" s="4">
        <f ca="1">IFERROR(INDIRECT(ADDRESS(49,3)) / INDIRECT(ADDRESS(52,3)),0)</f>
        <v>0.11813724196691287</v>
      </c>
      <c r="AN49" s="3">
        <f ca="1">INDIRECT(ADDRESS(49,9))</f>
        <v>5074955.3881529998</v>
      </c>
      <c r="AO49" s="4">
        <f ca="1">IFERROR(INDIRECT(ADDRESS(49,9)) / INDIRECT(ADDRESS(52,9)),0)</f>
        <v>0.13811661177746251</v>
      </c>
      <c r="AP49" s="4">
        <f ca="1">IFERROR((INDIRECT(ADDRESS(49,9)) - INDIRECT(ADDRESS(49,3)))/ INDIRECT(ADDRESS(49,3)),1)</f>
        <v>-0.11248272468854353</v>
      </c>
      <c r="AQ49" s="3">
        <f ca="1">INDIRECT(ADDRESS(49,14))</f>
        <v>4049083.7265059999</v>
      </c>
      <c r="AR49" s="4">
        <f ca="1">IFERROR(INDIRECT(ADDRESS(49,14)) / INDIRECT(ADDRESS(52,14)),0)</f>
        <v>0.1633870802956989</v>
      </c>
      <c r="AS49" s="4">
        <f ca="1">IFERROR((INDIRECT(ADDRESS(49,14)) - INDIRECT(ADDRESS(49,3)))/ INDIRECT(ADDRESS(49,3)),1)</f>
        <v>-0.29188899574456262</v>
      </c>
      <c r="AT49" s="3">
        <f ca="1">INDIRECT(ADDRESS(49,19))</f>
        <v>3113691.2361559998</v>
      </c>
      <c r="AU49" s="4">
        <f ca="1">IFERROR(INDIRECT(ADDRESS(49,19)) / INDIRECT(ADDRESS(52,19)),0)</f>
        <v>0.19073255251115187</v>
      </c>
      <c r="AV49" s="4">
        <f ca="1">IFERROR((INDIRECT(ADDRESS(49,19)) - INDIRECT(ADDRESS(49,3)))/ INDIRECT(ADDRESS(49,3)),1)</f>
        <v>-0.45547210749372186</v>
      </c>
      <c r="AW49" s="3">
        <f ca="1">INDIRECT(ADDRESS(49,24))</f>
        <v>2330378.5412320001</v>
      </c>
      <c r="AX49" s="4">
        <f ca="1">IFERROR(INDIRECT(ADDRESS(49,24)) / INDIRECT(ADDRESS(52,24)),0)</f>
        <v>0.19446331619696736</v>
      </c>
      <c r="AY49" s="4">
        <f ca="1">IFERROR((INDIRECT(ADDRESS(49,24)) - INDIRECT(ADDRESS(49,3)))/ INDIRECT(ADDRESS(49,3)),1)</f>
        <v>-0.59245923260987732</v>
      </c>
      <c r="AZ49" s="3">
        <f ca="1">INDIRECT(ADDRESS(49,29))</f>
        <v>2320846.7919350001</v>
      </c>
      <c r="BA49" s="4">
        <f ca="1">IFERROR(INDIRECT(ADDRESS(49,29)) / INDIRECT(ADDRESS(52,29)),0)</f>
        <v>0.23179420875365056</v>
      </c>
      <c r="BB49" s="4">
        <f ca="1">IFERROR((INDIRECT(ADDRESS(49,29)) - INDIRECT(ADDRESS(49,3)))/ INDIRECT(ADDRESS(49,3)),1)</f>
        <v>-0.59412616197535972</v>
      </c>
      <c r="BC49" s="3">
        <f ca="1">INDIRECT(ADDRESS(49,34))</f>
        <v>2319588.1010150001</v>
      </c>
      <c r="BD49" s="4">
        <f ca="1">IFERROR(INDIRECT(ADDRESS(49,34)) / INDIRECT(ADDRESS(52,34)),0)</f>
        <v>0.25465995855377394</v>
      </c>
      <c r="BE49" s="4">
        <f ca="1">IFERROR((INDIRECT(ADDRESS(49,34)) - INDIRECT(ADDRESS(49,3)))/ INDIRECT(ADDRESS(49,3)),1)</f>
        <v>-0.59434628409473544</v>
      </c>
    </row>
    <row r="50" spans="1:57" x14ac:dyDescent="0.25">
      <c r="A50" s="5"/>
      <c r="B50" s="1" t="s">
        <v>171</v>
      </c>
      <c r="C50">
        <v>18225.297460000002</v>
      </c>
      <c r="D50">
        <v>18206.008049</v>
      </c>
      <c r="E50">
        <v>18059.053337000001</v>
      </c>
      <c r="F50">
        <v>17900.568801000001</v>
      </c>
      <c r="G50">
        <v>17708.072929000002</v>
      </c>
      <c r="H50">
        <v>17506.179196000001</v>
      </c>
      <c r="I50">
        <v>15270.6657</v>
      </c>
      <c r="J50">
        <v>15013.581190999999</v>
      </c>
      <c r="K50">
        <v>14761.982437000001</v>
      </c>
      <c r="L50">
        <v>14514.351978999999</v>
      </c>
      <c r="M50">
        <v>14271.788479000001</v>
      </c>
      <c r="N50">
        <v>14047.189236</v>
      </c>
      <c r="O50">
        <v>13860.58899</v>
      </c>
      <c r="P50">
        <v>13673.150777999999</v>
      </c>
      <c r="Q50">
        <v>13485.313733999999</v>
      </c>
      <c r="R50">
        <v>13297.406231999999</v>
      </c>
      <c r="S50">
        <v>13111.015813</v>
      </c>
      <c r="T50">
        <v>12928.909181999999</v>
      </c>
      <c r="U50">
        <v>12746.368786999999</v>
      </c>
      <c r="V50">
        <v>12563.556748999999</v>
      </c>
      <c r="W50">
        <v>12551.326847</v>
      </c>
      <c r="X50">
        <v>12540.165032000001</v>
      </c>
      <c r="Y50">
        <v>12531.131538</v>
      </c>
      <c r="Z50">
        <v>12520.730801</v>
      </c>
      <c r="AA50">
        <v>12508.960193000001</v>
      </c>
      <c r="AB50">
        <v>12496.049255</v>
      </c>
      <c r="AC50">
        <v>12481.271054000001</v>
      </c>
      <c r="AD50">
        <v>12479.451509</v>
      </c>
      <c r="AE50">
        <v>12477.799496</v>
      </c>
      <c r="AF50">
        <v>12476.283334</v>
      </c>
      <c r="AG50">
        <v>12475.062921000001</v>
      </c>
      <c r="AH50">
        <v>12473.493973000001</v>
      </c>
      <c r="AK50" s="3" t="str">
        <f ca="1">INDIRECT(ADDRESS(50,2))</f>
        <v>Rail</v>
      </c>
      <c r="AL50" s="3">
        <f ca="1">INDIRECT(ADDRESS(50,3))</f>
        <v>18225.297460000002</v>
      </c>
      <c r="AM50" s="4">
        <f ca="1">IFERROR(INDIRECT(ADDRESS(50,3)) / INDIRECT(ADDRESS(52,3)),0)</f>
        <v>3.7653559642219749E-4</v>
      </c>
      <c r="AN50" s="3">
        <f ca="1">INDIRECT(ADDRESS(50,9))</f>
        <v>15270.6657</v>
      </c>
      <c r="AO50" s="4">
        <f ca="1">IFERROR(INDIRECT(ADDRESS(50,9)) / INDIRECT(ADDRESS(52,9)),0)</f>
        <v>4.1559628504200883E-4</v>
      </c>
      <c r="AP50" s="4">
        <f ca="1">IFERROR((INDIRECT(ADDRESS(50,9)) - INDIRECT(ADDRESS(50,3)))/ INDIRECT(ADDRESS(50,3)),1)</f>
        <v>-0.16211706648325958</v>
      </c>
      <c r="AQ50" s="3">
        <f ca="1">INDIRECT(ADDRESS(50,14))</f>
        <v>14047.189236</v>
      </c>
      <c r="AR50" s="4">
        <f ca="1">IFERROR(INDIRECT(ADDRESS(50,14)) / INDIRECT(ADDRESS(52,14)),0)</f>
        <v>5.668268158069683E-4</v>
      </c>
      <c r="AS50" s="4">
        <f ca="1">IFERROR((INDIRECT(ADDRESS(50,14)) - INDIRECT(ADDRESS(50,3)))/ INDIRECT(ADDRESS(50,3)),1)</f>
        <v>-0.22924773837957435</v>
      </c>
      <c r="AT50" s="3">
        <f ca="1">INDIRECT(ADDRESS(50,19))</f>
        <v>13111.015813</v>
      </c>
      <c r="AU50" s="4">
        <f ca="1">IFERROR(INDIRECT(ADDRESS(50,19)) / INDIRECT(ADDRESS(52,19)),0)</f>
        <v>8.0312957270445198E-4</v>
      </c>
      <c r="AV50" s="4">
        <f ca="1">IFERROR((INDIRECT(ADDRESS(50,19)) - INDIRECT(ADDRESS(50,3)))/ INDIRECT(ADDRESS(50,3)),1)</f>
        <v>-0.28061444035273381</v>
      </c>
      <c r="AW50" s="3">
        <f ca="1">INDIRECT(ADDRESS(50,24))</f>
        <v>12540.165032000001</v>
      </c>
      <c r="AX50" s="4">
        <f ca="1">IFERROR(INDIRECT(ADDRESS(50,24)) / INDIRECT(ADDRESS(52,24)),0)</f>
        <v>1.0464403248799034E-3</v>
      </c>
      <c r="AY50" s="4">
        <f ca="1">IFERROR((INDIRECT(ADDRESS(50,24)) - INDIRECT(ADDRESS(50,3)))/ INDIRECT(ADDRESS(50,3)),1)</f>
        <v>-0.31193633138100785</v>
      </c>
      <c r="AZ50" s="3">
        <f ca="1">INDIRECT(ADDRESS(50,29))</f>
        <v>12481.271054000001</v>
      </c>
      <c r="BA50" s="4">
        <f ca="1">IFERROR(INDIRECT(ADDRESS(50,29)) / INDIRECT(ADDRESS(52,29)),0)</f>
        <v>1.2465649857867907E-3</v>
      </c>
      <c r="BB50" s="4">
        <f ca="1">IFERROR((INDIRECT(ADDRESS(50,29)) - INDIRECT(ADDRESS(50,3)))/ INDIRECT(ADDRESS(50,3)),1)</f>
        <v>-0.31516777263069157</v>
      </c>
      <c r="BC50" s="3">
        <f ca="1">INDIRECT(ADDRESS(50,34))</f>
        <v>12473.493973000001</v>
      </c>
      <c r="BD50" s="4">
        <f ca="1">IFERROR(INDIRECT(ADDRESS(50,34)) / INDIRECT(ADDRESS(52,34)),0)</f>
        <v>1.3694239321175013E-3</v>
      </c>
      <c r="BE50" s="4">
        <f ca="1">IFERROR((INDIRECT(ADDRESS(50,34)) - INDIRECT(ADDRESS(50,3)))/ INDIRECT(ADDRESS(50,3)),1)</f>
        <v>-0.31559449164677722</v>
      </c>
    </row>
    <row r="51" spans="1:57" x14ac:dyDescent="0.25">
      <c r="A51" s="5"/>
      <c r="B51" s="1" t="s">
        <v>142</v>
      </c>
      <c r="C51">
        <v>284513.37434799998</v>
      </c>
      <c r="D51">
        <v>284516.54779300001</v>
      </c>
      <c r="E51">
        <v>281417.18625600002</v>
      </c>
      <c r="F51">
        <v>278306.22732200002</v>
      </c>
      <c r="G51">
        <v>275179.48475800001</v>
      </c>
      <c r="H51">
        <v>272046.68245199998</v>
      </c>
      <c r="I51">
        <v>267778.34912999999</v>
      </c>
      <c r="J51">
        <v>264614.18868800002</v>
      </c>
      <c r="K51">
        <v>261457.90921300001</v>
      </c>
      <c r="L51">
        <v>258302.27774600001</v>
      </c>
      <c r="M51">
        <v>255146.99338100001</v>
      </c>
      <c r="N51">
        <v>252000.47627099999</v>
      </c>
      <c r="O51">
        <v>248873.43634099999</v>
      </c>
      <c r="P51">
        <v>245745.80695699999</v>
      </c>
      <c r="Q51">
        <v>242616.01660199999</v>
      </c>
      <c r="R51">
        <v>239483.921474</v>
      </c>
      <c r="S51">
        <v>236359.98918199999</v>
      </c>
      <c r="T51">
        <v>233214.02926899999</v>
      </c>
      <c r="U51">
        <v>230065.75489400001</v>
      </c>
      <c r="V51">
        <v>226916.70508099999</v>
      </c>
      <c r="W51">
        <v>226895.68453699999</v>
      </c>
      <c r="X51">
        <v>226877.007017</v>
      </c>
      <c r="Y51">
        <v>226861.88840200001</v>
      </c>
      <c r="Z51">
        <v>226848.705441</v>
      </c>
      <c r="AA51">
        <v>226839.124901</v>
      </c>
      <c r="AB51">
        <v>226834.562015</v>
      </c>
      <c r="AC51">
        <v>226835.68038800001</v>
      </c>
      <c r="AD51">
        <v>226851.64953600001</v>
      </c>
      <c r="AE51">
        <v>226874.51559900001</v>
      </c>
      <c r="AF51">
        <v>226901.11474700001</v>
      </c>
      <c r="AG51">
        <v>226923.63273499999</v>
      </c>
      <c r="AH51">
        <v>226911.02635500001</v>
      </c>
      <c r="AK51" s="3" t="str">
        <f ca="1">INDIRECT(ADDRESS(51,2))</f>
        <v>Urban Bus</v>
      </c>
      <c r="AL51" s="3">
        <f ca="1">INDIRECT(ADDRESS(51,3))</f>
        <v>284513.37434799998</v>
      </c>
      <c r="AM51" s="4">
        <f ca="1">IFERROR(INDIRECT(ADDRESS(51,3)) / INDIRECT(ADDRESS(52,3)),0)</f>
        <v>5.878061158416676E-3</v>
      </c>
      <c r="AN51" s="3">
        <f ca="1">INDIRECT(ADDRESS(51,9))</f>
        <v>267778.34912999999</v>
      </c>
      <c r="AO51" s="4">
        <f ca="1">IFERROR(INDIRECT(ADDRESS(51,9)) / INDIRECT(ADDRESS(52,9)),0)</f>
        <v>7.2876775184142779E-3</v>
      </c>
      <c r="AP51" s="4">
        <f ca="1">IFERROR((INDIRECT(ADDRESS(51,9)) - INDIRECT(ADDRESS(51,3)))/ INDIRECT(ADDRESS(51,3)),1)</f>
        <v>-5.8819819125728333E-2</v>
      </c>
      <c r="AQ51" s="3">
        <f ca="1">INDIRECT(ADDRESS(51,14))</f>
        <v>252000.47627099999</v>
      </c>
      <c r="AR51" s="4">
        <f ca="1">IFERROR(INDIRECT(ADDRESS(51,14)) / INDIRECT(ADDRESS(52,14)),0)</f>
        <v>1.0168626986277072E-2</v>
      </c>
      <c r="AS51" s="4">
        <f ca="1">IFERROR((INDIRECT(ADDRESS(51,14)) - INDIRECT(ADDRESS(51,3)))/ INDIRECT(ADDRESS(51,3)),1)</f>
        <v>-0.1142754647352083</v>
      </c>
      <c r="AT51" s="3">
        <f ca="1">INDIRECT(ADDRESS(51,19))</f>
        <v>236359.98918199999</v>
      </c>
      <c r="AU51" s="4">
        <f ca="1">IFERROR(INDIRECT(ADDRESS(51,19)) / INDIRECT(ADDRESS(52,19)),0)</f>
        <v>1.4478488915248519E-2</v>
      </c>
      <c r="AV51" s="4">
        <f ca="1">IFERROR((INDIRECT(ADDRESS(51,19)) - INDIRECT(ADDRESS(51,3)))/ INDIRECT(ADDRESS(51,3)),1)</f>
        <v>-0.1692482305141185</v>
      </c>
      <c r="AW51" s="3">
        <f ca="1">INDIRECT(ADDRESS(51,24))</f>
        <v>226877.007017</v>
      </c>
      <c r="AX51" s="4">
        <f ca="1">IFERROR(INDIRECT(ADDRESS(51,24)) / INDIRECT(ADDRESS(52,24)),0)</f>
        <v>1.8932226834720144E-2</v>
      </c>
      <c r="AY51" s="4">
        <f ca="1">IFERROR((INDIRECT(ADDRESS(51,24)) - INDIRECT(ADDRESS(51,3)))/ INDIRECT(ADDRESS(51,3)),1)</f>
        <v>-0.20257876264369415</v>
      </c>
      <c r="AZ51" s="3">
        <f ca="1">INDIRECT(ADDRESS(51,29))</f>
        <v>226835.68038800001</v>
      </c>
      <c r="BA51" s="4">
        <f ca="1">IFERROR(INDIRECT(ADDRESS(51,29)) / INDIRECT(ADDRESS(52,29)),0)</f>
        <v>2.2655177944251398E-2</v>
      </c>
      <c r="BB51" s="4">
        <f ca="1">IFERROR((INDIRECT(ADDRESS(51,29)) - INDIRECT(ADDRESS(51,3)))/ INDIRECT(ADDRESS(51,3)),1)</f>
        <v>-0.20272401637418991</v>
      </c>
      <c r="BC51" s="3">
        <f ca="1">INDIRECT(ADDRESS(51,34))</f>
        <v>226911.02635500001</v>
      </c>
      <c r="BD51" s="4">
        <f ca="1">IFERROR(INDIRECT(ADDRESS(51,34)) / INDIRECT(ADDRESS(52,34)),0)</f>
        <v>2.4911816258099063E-2</v>
      </c>
      <c r="BE51" s="4">
        <f ca="1">IFERROR((INDIRECT(ADDRESS(51,34)) - INDIRECT(ADDRESS(51,3)))/ INDIRECT(ADDRESS(51,3)),1)</f>
        <v>-0.20245919238420118</v>
      </c>
    </row>
    <row r="52" spans="1:57" x14ac:dyDescent="0.25">
      <c r="A52" s="1" t="s">
        <v>21</v>
      </c>
      <c r="B52" s="1"/>
      <c r="C52">
        <v>48402588.316150993</v>
      </c>
      <c r="D52">
        <v>47680154.966900997</v>
      </c>
      <c r="E52">
        <v>45949683.106273986</v>
      </c>
      <c r="F52">
        <v>44051196.815537997</v>
      </c>
      <c r="G52">
        <v>42250293.352484003</v>
      </c>
      <c r="H52">
        <v>40086207.101287</v>
      </c>
      <c r="I52">
        <v>36743989.899852999</v>
      </c>
      <c r="J52">
        <v>34328560.391640007</v>
      </c>
      <c r="K52">
        <v>31846603.801075991</v>
      </c>
      <c r="L52">
        <v>29350864.836417001</v>
      </c>
      <c r="M52">
        <v>26945225.144010998</v>
      </c>
      <c r="N52">
        <v>24782153.638941001</v>
      </c>
      <c r="O52">
        <v>22869866.767287999</v>
      </c>
      <c r="P52">
        <v>21142884.635492001</v>
      </c>
      <c r="Q52">
        <v>19525756.20891</v>
      </c>
      <c r="R52">
        <v>17827414.401404001</v>
      </c>
      <c r="S52">
        <v>16324907.285944</v>
      </c>
      <c r="T52">
        <v>15318667.787156001</v>
      </c>
      <c r="U52">
        <v>14320718.699232999</v>
      </c>
      <c r="V52">
        <v>13364871.706567001</v>
      </c>
      <c r="W52">
        <v>12645696.341058001</v>
      </c>
      <c r="X52">
        <v>11983640.857341001</v>
      </c>
      <c r="Y52">
        <v>11505726.857825</v>
      </c>
      <c r="Z52">
        <v>11062977.188049</v>
      </c>
      <c r="AA52">
        <v>10665941.333456</v>
      </c>
      <c r="AB52">
        <v>10317248.519347001</v>
      </c>
      <c r="AC52">
        <v>10012531.393316999</v>
      </c>
      <c r="AD52">
        <v>9767364.004776001</v>
      </c>
      <c r="AE52">
        <v>9560773.4215350002</v>
      </c>
      <c r="AF52">
        <v>9386946.0078810006</v>
      </c>
      <c r="AG52">
        <v>9239131.9881800003</v>
      </c>
      <c r="AH52">
        <v>9108570.1662249994</v>
      </c>
    </row>
    <row r="53" spans="1:57" x14ac:dyDescent="0.25">
      <c r="A53" s="5" t="s">
        <v>2</v>
      </c>
      <c r="B53" s="1" t="s">
        <v>169</v>
      </c>
      <c r="C53">
        <v>7872484.352</v>
      </c>
      <c r="D53">
        <v>7872484.352</v>
      </c>
      <c r="E53">
        <v>7785012.07424</v>
      </c>
      <c r="F53">
        <v>7697540.2657160005</v>
      </c>
      <c r="G53">
        <v>7610068.4571930002</v>
      </c>
      <c r="H53">
        <v>7522596.1794330003</v>
      </c>
      <c r="I53">
        <v>7435123.9016730003</v>
      </c>
      <c r="J53">
        <v>7347652.0931489998</v>
      </c>
      <c r="K53">
        <v>7260180.2846259996</v>
      </c>
      <c r="L53">
        <v>7172708.0068650004</v>
      </c>
      <c r="M53">
        <v>7085235.7291050004</v>
      </c>
      <c r="N53">
        <v>6997763.9205820002</v>
      </c>
      <c r="O53">
        <v>6910292.1120579997</v>
      </c>
      <c r="P53">
        <v>6822819.8342979997</v>
      </c>
      <c r="Q53">
        <v>6735347.5565379998</v>
      </c>
      <c r="R53">
        <v>6647875.7480149996</v>
      </c>
      <c r="S53">
        <v>6560403.939491</v>
      </c>
      <c r="T53">
        <v>6472931.6617310001</v>
      </c>
      <c r="U53">
        <v>6385459.3839710001</v>
      </c>
      <c r="V53">
        <v>6297987.5754469996</v>
      </c>
      <c r="W53">
        <v>6297987.5754469996</v>
      </c>
      <c r="X53">
        <v>6297987.5754469996</v>
      </c>
      <c r="Y53">
        <v>6297987.5754469996</v>
      </c>
      <c r="Z53">
        <v>6297987.5754469996</v>
      </c>
      <c r="AA53">
        <v>6297987.5754469996</v>
      </c>
      <c r="AB53">
        <v>6297987.5754469996</v>
      </c>
      <c r="AC53">
        <v>6297987.5754469996</v>
      </c>
      <c r="AD53">
        <v>6297987.5754469996</v>
      </c>
      <c r="AE53">
        <v>6297987.5754469996</v>
      </c>
      <c r="AF53">
        <v>6297987.5754469996</v>
      </c>
      <c r="AG53">
        <v>6297987.5754469996</v>
      </c>
      <c r="AH53">
        <v>6297987.5754469996</v>
      </c>
      <c r="AK53" s="3" t="str">
        <f ca="1">INDIRECT(ADDRESS(53,2))</f>
        <v>Aviation</v>
      </c>
      <c r="AL53" s="3">
        <f ca="1">INDIRECT(ADDRESS(53,3))</f>
        <v>7872484.352</v>
      </c>
      <c r="AM53" s="4">
        <f ca="1">IFERROR(INDIRECT(ADDRESS(53,3)) / INDIRECT(ADDRESS(60,3)),0)</f>
        <v>0.16264593745647082</v>
      </c>
      <c r="AN53" s="3">
        <f ca="1">INDIRECT(ADDRESS(53,9))</f>
        <v>7435123.9016730003</v>
      </c>
      <c r="AO53" s="4">
        <f ca="1">IFERROR(INDIRECT(ADDRESS(53,9)) / INDIRECT(ADDRESS(60,9)),0)</f>
        <v>0.20042121751219766</v>
      </c>
      <c r="AP53" s="4">
        <f ca="1">IFERROR((INDIRECT(ADDRESS(53,9)) - INDIRECT(ADDRESS(53,3)))/ INDIRECT(ADDRESS(53,3)),1)</f>
        <v>-5.5555582046458878E-2</v>
      </c>
      <c r="AQ53" s="3">
        <f ca="1">INDIRECT(ADDRESS(53,14))</f>
        <v>6997763.9205820002</v>
      </c>
      <c r="AR53" s="4">
        <f ca="1">IFERROR(INDIRECT(ADDRESS(53,14)) / INDIRECT(ADDRESS(60,14)),0)</f>
        <v>0.27570239105869038</v>
      </c>
      <c r="AS53" s="4">
        <f ca="1">IFERROR((INDIRECT(ADDRESS(53,14)) - INDIRECT(ADDRESS(53,3)))/ INDIRECT(ADDRESS(53,3)),1)</f>
        <v>-0.11111110448835348</v>
      </c>
      <c r="AT53" s="3">
        <f ca="1">INDIRECT(ADDRESS(53,19))</f>
        <v>6560403.939491</v>
      </c>
      <c r="AU53" s="4">
        <f ca="1">IFERROR(INDIRECT(ADDRESS(53,19)) / INDIRECT(ADDRESS(60,19)),0)</f>
        <v>0.38551556058217962</v>
      </c>
      <c r="AV53" s="4">
        <f ca="1">IFERROR((INDIRECT(ADDRESS(53,19)) - INDIRECT(ADDRESS(53,3)))/ INDIRECT(ADDRESS(53,3)),1)</f>
        <v>-0.16666662693024809</v>
      </c>
      <c r="AW53" s="3">
        <f ca="1">INDIRECT(ADDRESS(53,24))</f>
        <v>6297987.5754469996</v>
      </c>
      <c r="AX53" s="4">
        <f ca="1">IFERROR(INDIRECT(ADDRESS(53,24)) / INDIRECT(ADDRESS(60,24)),0)</f>
        <v>0.50417640854885759</v>
      </c>
      <c r="AY53" s="4">
        <f ca="1">IFERROR((INDIRECT(ADDRESS(53,24)) - INDIRECT(ADDRESS(53,3)))/ INDIRECT(ADDRESS(53,3)),1)</f>
        <v>-0.19999998807911257</v>
      </c>
      <c r="AZ53" s="3">
        <f ca="1">INDIRECT(ADDRESS(53,29))</f>
        <v>6297987.5754469996</v>
      </c>
      <c r="BA53" s="4">
        <f ca="1">IFERROR(INDIRECT(ADDRESS(53,29)) / INDIRECT(ADDRESS(60,29)),0)</f>
        <v>0.61033121876213337</v>
      </c>
      <c r="BB53" s="4">
        <f ca="1">IFERROR((INDIRECT(ADDRESS(53,29)) - INDIRECT(ADDRESS(53,3)))/ INDIRECT(ADDRESS(53,3)),1)</f>
        <v>-0.19999998807911257</v>
      </c>
      <c r="BC53" s="3">
        <f ca="1">INDIRECT(ADDRESS(53,34))</f>
        <v>6297987.5754469996</v>
      </c>
      <c r="BD53" s="4">
        <f ca="1">IFERROR(INDIRECT(ADDRESS(53,34)) / INDIRECT(ADDRESS(60,34)),0)</f>
        <v>0.68368295528639877</v>
      </c>
      <c r="BE53" s="4">
        <f ca="1">IFERROR((INDIRECT(ADDRESS(53,34)) - INDIRECT(ADDRESS(53,3)))/ INDIRECT(ADDRESS(53,3)),1)</f>
        <v>-0.19999998807911257</v>
      </c>
    </row>
    <row r="54" spans="1:57" x14ac:dyDescent="0.25">
      <c r="A54" s="5"/>
      <c r="B54" s="1" t="s">
        <v>139</v>
      </c>
      <c r="C54">
        <v>8422611.7638140004</v>
      </c>
      <c r="D54">
        <v>8778290.734615</v>
      </c>
      <c r="E54">
        <v>8465207.7324199993</v>
      </c>
      <c r="F54">
        <v>8163446.9230359998</v>
      </c>
      <c r="G54">
        <v>7834927.9960850002</v>
      </c>
      <c r="H54">
        <v>7411674.8015729999</v>
      </c>
      <c r="I54">
        <v>6477713.1143960003</v>
      </c>
      <c r="J54">
        <v>5929984.8370700004</v>
      </c>
      <c r="K54">
        <v>5306330.3649810003</v>
      </c>
      <c r="L54">
        <v>4671146.2448340002</v>
      </c>
      <c r="M54">
        <v>4066371.8673760002</v>
      </c>
      <c r="N54">
        <v>3554156.727736</v>
      </c>
      <c r="O54">
        <v>3175086.52244</v>
      </c>
      <c r="P54">
        <v>2867057.5293259998</v>
      </c>
      <c r="Q54">
        <v>2589942.5279379999</v>
      </c>
      <c r="R54">
        <v>2259635.9255849998</v>
      </c>
      <c r="S54">
        <v>2005573.2661210001</v>
      </c>
      <c r="T54">
        <v>1744035.932643</v>
      </c>
      <c r="U54">
        <v>1477625.8397679999</v>
      </c>
      <c r="V54">
        <v>1225032.296912</v>
      </c>
      <c r="W54">
        <v>1011512.0412860001</v>
      </c>
      <c r="X54">
        <v>823272.98505300004</v>
      </c>
      <c r="Y54">
        <v>658356.227679</v>
      </c>
      <c r="Z54">
        <v>510277.12986500002</v>
      </c>
      <c r="AA54">
        <v>383978.69927899999</v>
      </c>
      <c r="AB54">
        <v>280336.74388199998</v>
      </c>
      <c r="AC54">
        <v>197549.277229</v>
      </c>
      <c r="AD54">
        <v>138756.46276699999</v>
      </c>
      <c r="AE54">
        <v>97299.568169000006</v>
      </c>
      <c r="AF54">
        <v>70414.626940999995</v>
      </c>
      <c r="AG54">
        <v>54815.760438999998</v>
      </c>
      <c r="AH54">
        <v>46768.156996999998</v>
      </c>
      <c r="AK54" s="3" t="str">
        <f ca="1">INDIRECT(ADDRESS(54,2))</f>
        <v>Car</v>
      </c>
      <c r="AL54" s="3">
        <f ca="1">INDIRECT(ADDRESS(54,3))</f>
        <v>8422611.7638140004</v>
      </c>
      <c r="AM54" s="4">
        <f ca="1">IFERROR(INDIRECT(ADDRESS(54,3)) / INDIRECT(ADDRESS(60,3)),0)</f>
        <v>0.1740115984872557</v>
      </c>
      <c r="AN54" s="3">
        <f ca="1">INDIRECT(ADDRESS(54,9))</f>
        <v>6477713.1143960003</v>
      </c>
      <c r="AO54" s="4">
        <f ca="1">IFERROR(INDIRECT(ADDRESS(54,9)) / INDIRECT(ADDRESS(60,9)),0)</f>
        <v>0.17461325006162279</v>
      </c>
      <c r="AP54" s="4">
        <f ca="1">IFERROR((INDIRECT(ADDRESS(54,9)) - INDIRECT(ADDRESS(54,3)))/ INDIRECT(ADDRESS(54,3)),1)</f>
        <v>-0.23091396160201194</v>
      </c>
      <c r="AQ54" s="3">
        <f ca="1">INDIRECT(ADDRESS(54,14))</f>
        <v>3554156.727736</v>
      </c>
      <c r="AR54" s="4">
        <f ca="1">IFERROR(INDIRECT(ADDRESS(54,14)) / INDIRECT(ADDRESS(60,14)),0)</f>
        <v>0.14002894626840301</v>
      </c>
      <c r="AS54" s="4">
        <f ca="1">IFERROR((INDIRECT(ADDRESS(54,14)) - INDIRECT(ADDRESS(54,3)))/ INDIRECT(ADDRESS(54,3)),1)</f>
        <v>-0.57802201651918761</v>
      </c>
      <c r="AT54" s="3">
        <f ca="1">INDIRECT(ADDRESS(54,19))</f>
        <v>2005573.2661210001</v>
      </c>
      <c r="AU54" s="4">
        <f ca="1">IFERROR(INDIRECT(ADDRESS(54,19)) / INDIRECT(ADDRESS(60,19)),0)</f>
        <v>0.11785550236061512</v>
      </c>
      <c r="AV54" s="4">
        <f ca="1">IFERROR((INDIRECT(ADDRESS(54,19)) - INDIRECT(ADDRESS(54,3)))/ INDIRECT(ADDRESS(54,3)),1)</f>
        <v>-0.76188226142186344</v>
      </c>
      <c r="AW54" s="3">
        <f ca="1">INDIRECT(ADDRESS(54,24))</f>
        <v>823272.98505300004</v>
      </c>
      <c r="AX54" s="4">
        <f ca="1">IFERROR(INDIRECT(ADDRESS(54,24)) / INDIRECT(ADDRESS(60,24)),0)</f>
        <v>6.5905944063387414E-2</v>
      </c>
      <c r="AY54" s="4">
        <f ca="1">IFERROR((INDIRECT(ADDRESS(54,24)) - INDIRECT(ADDRESS(54,3)))/ INDIRECT(ADDRESS(54,3)),1)</f>
        <v>-0.90225443031934327</v>
      </c>
      <c r="AZ54" s="3">
        <f ca="1">INDIRECT(ADDRESS(54,29))</f>
        <v>197549.277229</v>
      </c>
      <c r="BA54" s="4">
        <f ca="1">IFERROR(INDIRECT(ADDRESS(54,29)) / INDIRECT(ADDRESS(60,29)),0)</f>
        <v>1.9144288503648983E-2</v>
      </c>
      <c r="BB54" s="4">
        <f ca="1">IFERROR((INDIRECT(ADDRESS(54,29)) - INDIRECT(ADDRESS(54,3)))/ INDIRECT(ADDRESS(54,3)),1)</f>
        <v>-0.97654536588309471</v>
      </c>
      <c r="BC54" s="3">
        <f ca="1">INDIRECT(ADDRESS(54,34))</f>
        <v>46768.156996999998</v>
      </c>
      <c r="BD54" s="4">
        <f ca="1">IFERROR(INDIRECT(ADDRESS(54,34)) / INDIRECT(ADDRESS(60,34)),0)</f>
        <v>5.0769537738787661E-3</v>
      </c>
      <c r="BE54" s="4">
        <f ca="1">IFERROR((INDIRECT(ADDRESS(54,34)) - INDIRECT(ADDRESS(54,3)))/ INDIRECT(ADDRESS(54,3)),1)</f>
        <v>-0.99444730942034754</v>
      </c>
    </row>
    <row r="55" spans="1:57" x14ac:dyDescent="0.25">
      <c r="A55" s="5"/>
      <c r="B55" s="1" t="s">
        <v>140</v>
      </c>
      <c r="C55">
        <v>18055216.234627001</v>
      </c>
      <c r="D55">
        <v>16509207.333001999</v>
      </c>
      <c r="E55">
        <v>15311519.534971001</v>
      </c>
      <c r="F55">
        <v>14160005.864518</v>
      </c>
      <c r="G55">
        <v>13051857.340233</v>
      </c>
      <c r="H55">
        <v>11987455.253768999</v>
      </c>
      <c r="I55">
        <v>10878954.077966001</v>
      </c>
      <c r="J55">
        <v>9846751.0988979992</v>
      </c>
      <c r="K55">
        <v>8862598.5332859997</v>
      </c>
      <c r="L55">
        <v>7937762.305776</v>
      </c>
      <c r="M55">
        <v>7065873.3752840003</v>
      </c>
      <c r="N55">
        <v>6243867.8945129998</v>
      </c>
      <c r="O55">
        <v>5467965.5235620001</v>
      </c>
      <c r="P55">
        <v>4730561.2738539996</v>
      </c>
      <c r="Q55">
        <v>4025495.5075460002</v>
      </c>
      <c r="R55">
        <v>3348042.090475</v>
      </c>
      <c r="S55">
        <v>2694560.1650780002</v>
      </c>
      <c r="T55">
        <v>2500276.5294750002</v>
      </c>
      <c r="U55">
        <v>2312224.0021520001</v>
      </c>
      <c r="V55">
        <v>2129743.3489089999</v>
      </c>
      <c r="W55">
        <v>1969865.351826</v>
      </c>
      <c r="X55">
        <v>1811304.454162</v>
      </c>
      <c r="Y55">
        <v>1652919.7296430001</v>
      </c>
      <c r="Z55">
        <v>1495141.051374</v>
      </c>
      <c r="AA55">
        <v>1337736.3433389999</v>
      </c>
      <c r="AB55">
        <v>1180530.7548710001</v>
      </c>
      <c r="AC55">
        <v>1023304.090767</v>
      </c>
      <c r="AD55">
        <v>869919.99909699999</v>
      </c>
      <c r="AE55">
        <v>716488.65177999996</v>
      </c>
      <c r="AF55">
        <v>562973.82812299998</v>
      </c>
      <c r="AG55">
        <v>409388.362264</v>
      </c>
      <c r="AH55">
        <v>255753.71680600001</v>
      </c>
      <c r="AK55" s="3" t="str">
        <f ca="1">INDIRECT(ADDRESS(55,2))</f>
        <v>Heavy Truck</v>
      </c>
      <c r="AL55" s="3">
        <f ca="1">INDIRECT(ADDRESS(55,3))</f>
        <v>18055216.234627001</v>
      </c>
      <c r="AM55" s="4">
        <f ca="1">IFERROR(INDIRECT(ADDRESS(55,3)) / INDIRECT(ADDRESS(60,3)),0)</f>
        <v>0.37302170943206214</v>
      </c>
      <c r="AN55" s="3">
        <f ca="1">INDIRECT(ADDRESS(55,9))</f>
        <v>10878954.077966001</v>
      </c>
      <c r="AO55" s="4">
        <f ca="1">IFERROR(INDIRECT(ADDRESS(55,9)) / INDIRECT(ADDRESS(60,9)),0)</f>
        <v>0.29325311190505127</v>
      </c>
      <c r="AP55" s="4">
        <f ca="1">IFERROR((INDIRECT(ADDRESS(55,9)) - INDIRECT(ADDRESS(55,3)))/ INDIRECT(ADDRESS(55,3)),1)</f>
        <v>-0.39746198901224367</v>
      </c>
      <c r="AQ55" s="3">
        <f ca="1">INDIRECT(ADDRESS(55,14))</f>
        <v>6243867.8945129998</v>
      </c>
      <c r="AR55" s="4">
        <f ca="1">IFERROR(INDIRECT(ADDRESS(55,14)) / INDIRECT(ADDRESS(60,14)),0)</f>
        <v>0.24599991190166542</v>
      </c>
      <c r="AS55" s="4">
        <f ca="1">IFERROR((INDIRECT(ADDRESS(55,14)) - INDIRECT(ADDRESS(55,3)))/ INDIRECT(ADDRESS(55,3)),1)</f>
        <v>-0.65417927908621409</v>
      </c>
      <c r="AT55" s="3">
        <f ca="1">INDIRECT(ADDRESS(55,19))</f>
        <v>2694560.1650780002</v>
      </c>
      <c r="AU55" s="4">
        <f ca="1">IFERROR(INDIRECT(ADDRESS(55,19)) / INDIRECT(ADDRESS(60,19)),0)</f>
        <v>0.15834312675616319</v>
      </c>
      <c r="AV55" s="4">
        <f ca="1">IFERROR((INDIRECT(ADDRESS(55,19)) - INDIRECT(ADDRESS(55,3)))/ INDIRECT(ADDRESS(55,3)),1)</f>
        <v>-0.85076001693570047</v>
      </c>
      <c r="AW55" s="3">
        <f ca="1">INDIRECT(ADDRESS(55,24))</f>
        <v>1811304.454162</v>
      </c>
      <c r="AX55" s="4">
        <f ca="1">IFERROR(INDIRECT(ADDRESS(55,24)) / INDIRECT(ADDRESS(60,24)),0)</f>
        <v>0.14500139346863197</v>
      </c>
      <c r="AY55" s="4">
        <f ca="1">IFERROR((INDIRECT(ADDRESS(55,24)) - INDIRECT(ADDRESS(55,3)))/ INDIRECT(ADDRESS(55,3)),1)</f>
        <v>-0.89967971412670156</v>
      </c>
      <c r="AZ55" s="3">
        <f ca="1">INDIRECT(ADDRESS(55,29))</f>
        <v>1023304.090767</v>
      </c>
      <c r="BA55" s="4">
        <f ca="1">IFERROR(INDIRECT(ADDRESS(55,29)) / INDIRECT(ADDRESS(60,29)),0)</f>
        <v>9.9167301522942758E-2</v>
      </c>
      <c r="BB55" s="4">
        <f ca="1">IFERROR((INDIRECT(ADDRESS(55,29)) - INDIRECT(ADDRESS(55,3)))/ INDIRECT(ADDRESS(55,3)),1)</f>
        <v>-0.9433236313833524</v>
      </c>
      <c r="BC55" s="3">
        <f ca="1">INDIRECT(ADDRESS(55,34))</f>
        <v>255753.71680600001</v>
      </c>
      <c r="BD55" s="4">
        <f ca="1">IFERROR(INDIRECT(ADDRESS(55,34)) / INDIRECT(ADDRESS(60,34)),0)</f>
        <v>2.7763544280888248E-2</v>
      </c>
      <c r="BE55" s="4">
        <f ca="1">IFERROR((INDIRECT(ADDRESS(55,34)) - INDIRECT(ADDRESS(55,3)))/ INDIRECT(ADDRESS(55,3)),1)</f>
        <v>-0.98583491255477163</v>
      </c>
    </row>
    <row r="56" spans="1:57" x14ac:dyDescent="0.25">
      <c r="A56" s="5"/>
      <c r="B56" s="1" t="s">
        <v>141</v>
      </c>
      <c r="C56">
        <v>8031389.0061720004</v>
      </c>
      <c r="D56">
        <v>8503564.3104120009</v>
      </c>
      <c r="E56">
        <v>8456638.4810809996</v>
      </c>
      <c r="F56">
        <v>8174012.2590129999</v>
      </c>
      <c r="G56">
        <v>7988768.0286060004</v>
      </c>
      <c r="H56">
        <v>7593636.3532250002</v>
      </c>
      <c r="I56">
        <v>6944920.6422609994</v>
      </c>
      <c r="J56">
        <v>6468519.3822389999</v>
      </c>
      <c r="K56">
        <v>5947334.9921650002</v>
      </c>
      <c r="L56">
        <v>5358824.728294</v>
      </c>
      <c r="M56">
        <v>4768812.3027379997</v>
      </c>
      <c r="N56">
        <v>4264784.8040239997</v>
      </c>
      <c r="O56">
        <v>3818270.9210959999</v>
      </c>
      <c r="P56">
        <v>3440152.137695</v>
      </c>
      <c r="Q56">
        <v>3101192.7441309998</v>
      </c>
      <c r="R56">
        <v>2699312.469325</v>
      </c>
      <c r="S56">
        <v>2383851.4013490002</v>
      </c>
      <c r="T56">
        <v>2065223.8656560001</v>
      </c>
      <c r="U56">
        <v>1750243.742941</v>
      </c>
      <c r="V56">
        <v>1454369.7634620001</v>
      </c>
      <c r="W56">
        <v>1205100.724923</v>
      </c>
      <c r="X56">
        <v>985149.73293299996</v>
      </c>
      <c r="Y56">
        <v>792709.69004799996</v>
      </c>
      <c r="Z56">
        <v>618395.83863799996</v>
      </c>
      <c r="AA56">
        <v>468138.51909900003</v>
      </c>
      <c r="AB56">
        <v>343743.50442999997</v>
      </c>
      <c r="AC56">
        <v>243577.83379599999</v>
      </c>
      <c r="AD56">
        <v>171477.31620100001</v>
      </c>
      <c r="AE56">
        <v>119929.06167900001</v>
      </c>
      <c r="AF56">
        <v>85937.099193000002</v>
      </c>
      <c r="AG56">
        <v>65863.104800999994</v>
      </c>
      <c r="AH56">
        <v>55331.251434999998</v>
      </c>
      <c r="AK56" s="3" t="str">
        <f ca="1">INDIRECT(ADDRESS(56,2))</f>
        <v>Light Truck</v>
      </c>
      <c r="AL56" s="3">
        <f ca="1">INDIRECT(ADDRESS(56,3))</f>
        <v>8031389.0061720004</v>
      </c>
      <c r="AM56" s="4">
        <f ca="1">IFERROR(INDIRECT(ADDRESS(56,3)) / INDIRECT(ADDRESS(60,3)),0)</f>
        <v>0.16592891590245978</v>
      </c>
      <c r="AN56" s="3">
        <f ca="1">INDIRECT(ADDRESS(56,9))</f>
        <v>6944920.6422609994</v>
      </c>
      <c r="AO56" s="4">
        <f ca="1">IFERROR(INDIRECT(ADDRESS(56,9)) / INDIRECT(ADDRESS(60,9)),0)</f>
        <v>0.18720729728987373</v>
      </c>
      <c r="AP56" s="4">
        <f ca="1">IFERROR((INDIRECT(ADDRESS(56,9)) - INDIRECT(ADDRESS(56,3)))/ INDIRECT(ADDRESS(56,3)),1)</f>
        <v>-0.13527776615926168</v>
      </c>
      <c r="AQ56" s="3">
        <f ca="1">INDIRECT(ADDRESS(56,14))</f>
        <v>4264784.8040239997</v>
      </c>
      <c r="AR56" s="4">
        <f ca="1">IFERROR(INDIRECT(ADDRESS(56,14)) / INDIRECT(ADDRESS(60,14)),0)</f>
        <v>0.16802672698943999</v>
      </c>
      <c r="AS56" s="4">
        <f ca="1">IFERROR((INDIRECT(ADDRESS(56,14)) - INDIRECT(ADDRESS(56,3)))/ INDIRECT(ADDRESS(56,3)),1)</f>
        <v>-0.46898540205852596</v>
      </c>
      <c r="AT56" s="3">
        <f ca="1">INDIRECT(ADDRESS(56,19))</f>
        <v>2383851.4013490002</v>
      </c>
      <c r="AU56" s="4">
        <f ca="1">IFERROR(INDIRECT(ADDRESS(56,19)) / INDIRECT(ADDRESS(60,19)),0)</f>
        <v>0.14008463774670823</v>
      </c>
      <c r="AV56" s="4">
        <f ca="1">IFERROR((INDIRECT(ADDRESS(56,19)) - INDIRECT(ADDRESS(56,3)))/ INDIRECT(ADDRESS(56,3)),1)</f>
        <v>-0.70318317298327271</v>
      </c>
      <c r="AW56" s="3">
        <f ca="1">INDIRECT(ADDRESS(56,24))</f>
        <v>985149.73293299996</v>
      </c>
      <c r="AX56" s="4">
        <f ca="1">IFERROR(INDIRECT(ADDRESS(56,24)) / INDIRECT(ADDRESS(60,24)),0)</f>
        <v>7.886475612771808E-2</v>
      </c>
      <c r="AY56" s="4">
        <f ca="1">IFERROR((INDIRECT(ADDRESS(56,24)) - INDIRECT(ADDRESS(56,3)))/ INDIRECT(ADDRESS(56,3)),1)</f>
        <v>-0.87733756487502634</v>
      </c>
      <c r="AZ56" s="3">
        <f ca="1">INDIRECT(ADDRESS(56,29))</f>
        <v>243577.83379599999</v>
      </c>
      <c r="BA56" s="4">
        <f ca="1">IFERROR(INDIRECT(ADDRESS(56,29)) / INDIRECT(ADDRESS(60,29)),0)</f>
        <v>2.3604866536054044E-2</v>
      </c>
      <c r="BB56" s="4">
        <f ca="1">IFERROR((INDIRECT(ADDRESS(56,29)) - INDIRECT(ADDRESS(56,3)))/ INDIRECT(ADDRESS(56,3)),1)</f>
        <v>-0.96967176741049221</v>
      </c>
      <c r="BC56" s="3">
        <f ca="1">INDIRECT(ADDRESS(56,34))</f>
        <v>55331.251434999998</v>
      </c>
      <c r="BD56" s="4">
        <f ca="1">IFERROR(INDIRECT(ADDRESS(56,34)) / INDIRECT(ADDRESS(60,34)),0)</f>
        <v>6.0065271719896458E-3</v>
      </c>
      <c r="BE56" s="4">
        <f ca="1">IFERROR((INDIRECT(ADDRESS(56,34)) - INDIRECT(ADDRESS(56,3)))/ INDIRECT(ADDRESS(56,3)),1)</f>
        <v>-0.99311062490031554</v>
      </c>
    </row>
    <row r="57" spans="1:57" x14ac:dyDescent="0.25">
      <c r="A57" s="5"/>
      <c r="B57" s="1" t="s">
        <v>170</v>
      </c>
      <c r="C57">
        <v>5718148.28773</v>
      </c>
      <c r="D57">
        <v>5718148.28773</v>
      </c>
      <c r="E57">
        <v>5654613.1401279997</v>
      </c>
      <c r="F57">
        <v>5591078.333354</v>
      </c>
      <c r="G57">
        <v>5504600.7155709993</v>
      </c>
      <c r="H57">
        <v>5309493.3183089998</v>
      </c>
      <c r="I57">
        <v>5077531.0825979998</v>
      </c>
      <c r="J57">
        <v>4869144.637596</v>
      </c>
      <c r="K57">
        <v>4662834.5809670007</v>
      </c>
      <c r="L57">
        <v>4458338.6845479999</v>
      </c>
      <c r="M57">
        <v>4255353.2227170002</v>
      </c>
      <c r="N57">
        <v>4054831.680193</v>
      </c>
      <c r="O57">
        <v>3862074.5032839999</v>
      </c>
      <c r="P57">
        <v>3672540.9980120002</v>
      </c>
      <c r="Q57">
        <v>3486214.9324130001</v>
      </c>
      <c r="R57">
        <v>3303086.6475880002</v>
      </c>
      <c r="S57">
        <v>3123232.1043540002</v>
      </c>
      <c r="T57">
        <v>2946093.9948550002</v>
      </c>
      <c r="U57">
        <v>2772261.4862239999</v>
      </c>
      <c r="V57">
        <v>2601751.3495479999</v>
      </c>
      <c r="W57">
        <v>2468224.5847410001</v>
      </c>
      <c r="X57">
        <v>2334463.355126</v>
      </c>
      <c r="Y57">
        <v>2331240.7792520002</v>
      </c>
      <c r="Z57">
        <v>2327917.3023029999</v>
      </c>
      <c r="AA57">
        <v>2324486.647357</v>
      </c>
      <c r="AB57">
        <v>2320964.4811269999</v>
      </c>
      <c r="AC57">
        <v>2317265.7181580001</v>
      </c>
      <c r="AD57">
        <v>2317119.080261</v>
      </c>
      <c r="AE57">
        <v>2316988.8316529999</v>
      </c>
      <c r="AF57">
        <v>2316871.5317009999</v>
      </c>
      <c r="AG57">
        <v>2316780.2065639999</v>
      </c>
      <c r="AH57">
        <v>2316657.1597460001</v>
      </c>
      <c r="AK57" s="3" t="str">
        <f ca="1">INDIRECT(ADDRESS(57,2))</f>
        <v>Marine</v>
      </c>
      <c r="AL57" s="3">
        <f ca="1">INDIRECT(ADDRESS(57,3))</f>
        <v>5718148.28773</v>
      </c>
      <c r="AM57" s="4">
        <f ca="1">IFERROR(INDIRECT(ADDRESS(57,3)) / INDIRECT(ADDRESS(60,3)),0)</f>
        <v>0.11813724196691287</v>
      </c>
      <c r="AN57" s="3">
        <f ca="1">INDIRECT(ADDRESS(57,9))</f>
        <v>5077531.0825979998</v>
      </c>
      <c r="AO57" s="4">
        <f ca="1">IFERROR(INDIRECT(ADDRESS(57,9)) / INDIRECT(ADDRESS(60,9)),0)</f>
        <v>0.13686993989452345</v>
      </c>
      <c r="AP57" s="4">
        <f ca="1">IFERROR((INDIRECT(ADDRESS(57,9)) - INDIRECT(ADDRESS(57,3)))/ INDIRECT(ADDRESS(57,3)),1)</f>
        <v>-0.11203228263713207</v>
      </c>
      <c r="AQ57" s="3">
        <f ca="1">INDIRECT(ADDRESS(57,14))</f>
        <v>4054831.680193</v>
      </c>
      <c r="AR57" s="4">
        <f ca="1">IFERROR(INDIRECT(ADDRESS(57,14)) / INDIRECT(ADDRESS(60,14)),0)</f>
        <v>0.1597548591603187</v>
      </c>
      <c r="AS57" s="4">
        <f ca="1">IFERROR((INDIRECT(ADDRESS(57,14)) - INDIRECT(ADDRESS(57,3)))/ INDIRECT(ADDRESS(57,3)),1)</f>
        <v>-0.29088378332302856</v>
      </c>
      <c r="AT57" s="3">
        <f ca="1">INDIRECT(ADDRESS(57,19))</f>
        <v>3123232.1043540002</v>
      </c>
      <c r="AU57" s="4">
        <f ca="1">IFERROR(INDIRECT(ADDRESS(57,19)) / INDIRECT(ADDRESS(60,19)),0)</f>
        <v>0.18353360351644926</v>
      </c>
      <c r="AV57" s="4">
        <f ca="1">IFERROR((INDIRECT(ADDRESS(57,19)) - INDIRECT(ADDRESS(57,3)))/ INDIRECT(ADDRESS(57,3)),1)</f>
        <v>-0.4538035833985225</v>
      </c>
      <c r="AW57" s="3">
        <f ca="1">INDIRECT(ADDRESS(57,24))</f>
        <v>2334463.355126</v>
      </c>
      <c r="AX57" s="4">
        <f ca="1">IFERROR(INDIRECT(ADDRESS(57,24)) / INDIRECT(ADDRESS(60,24)),0)</f>
        <v>0.18688213277283366</v>
      </c>
      <c r="AY57" s="4">
        <f ca="1">IFERROR((INDIRECT(ADDRESS(57,24)) - INDIRECT(ADDRESS(57,3)))/ INDIRECT(ADDRESS(57,3)),1)</f>
        <v>-0.59174487305002388</v>
      </c>
      <c r="AZ57" s="3">
        <f ca="1">INDIRECT(ADDRESS(57,29))</f>
        <v>2317265.7181580001</v>
      </c>
      <c r="BA57" s="4">
        <f ca="1">IFERROR(INDIRECT(ADDRESS(57,29)) / INDIRECT(ADDRESS(60,29)),0)</f>
        <v>0.22456373452891457</v>
      </c>
      <c r="BB57" s="4">
        <f ca="1">IFERROR((INDIRECT(ADDRESS(57,29)) - INDIRECT(ADDRESS(57,3)))/ INDIRECT(ADDRESS(57,3)),1)</f>
        <v>-0.59475242656256611</v>
      </c>
      <c r="BC57" s="3">
        <f ca="1">INDIRECT(ADDRESS(57,34))</f>
        <v>2316657.1597460001</v>
      </c>
      <c r="BD57" s="4">
        <f ca="1">IFERROR(INDIRECT(ADDRESS(57,34)) / INDIRECT(ADDRESS(60,34)),0)</f>
        <v>0.25148652555862272</v>
      </c>
      <c r="BE57" s="4">
        <f ca="1">IFERROR((INDIRECT(ADDRESS(57,34)) - INDIRECT(ADDRESS(57,3)))/ INDIRECT(ADDRESS(57,3)),1)</f>
        <v>-0.59485885234612013</v>
      </c>
    </row>
    <row r="58" spans="1:57" x14ac:dyDescent="0.25">
      <c r="A58" s="5"/>
      <c r="B58" s="1" t="s">
        <v>171</v>
      </c>
      <c r="C58">
        <v>18225.297460000002</v>
      </c>
      <c r="D58">
        <v>18201.720870000001</v>
      </c>
      <c r="E58">
        <v>18036.253887999999</v>
      </c>
      <c r="F58">
        <v>17897.303232999999</v>
      </c>
      <c r="G58">
        <v>17731.607369000001</v>
      </c>
      <c r="H58">
        <v>17549.216945</v>
      </c>
      <c r="I58">
        <v>15396.501157999999</v>
      </c>
      <c r="J58">
        <v>15158.605877</v>
      </c>
      <c r="K58">
        <v>14911.744186</v>
      </c>
      <c r="L58">
        <v>14655.742491000001</v>
      </c>
      <c r="M58">
        <v>14389.819939000001</v>
      </c>
      <c r="N58">
        <v>14132.225085</v>
      </c>
      <c r="O58">
        <v>13948.724157000001</v>
      </c>
      <c r="P58">
        <v>13762.558072</v>
      </c>
      <c r="Q58">
        <v>13574.340758</v>
      </c>
      <c r="R58">
        <v>13384.530006999999</v>
      </c>
      <c r="S58">
        <v>13194.182244</v>
      </c>
      <c r="T58">
        <v>12998.932428</v>
      </c>
      <c r="U58">
        <v>12804.226128</v>
      </c>
      <c r="V58">
        <v>12610.072812</v>
      </c>
      <c r="W58">
        <v>12587.126439</v>
      </c>
      <c r="X58">
        <v>12565.403920999999</v>
      </c>
      <c r="Y58">
        <v>12545.492552</v>
      </c>
      <c r="Z58">
        <v>12524.957716999999</v>
      </c>
      <c r="AA58">
        <v>12503.760705000001</v>
      </c>
      <c r="AB58">
        <v>12481.998231</v>
      </c>
      <c r="AC58">
        <v>12459.144624</v>
      </c>
      <c r="AD58">
        <v>12458.238583</v>
      </c>
      <c r="AE58">
        <v>12457.433819</v>
      </c>
      <c r="AF58">
        <v>12456.709057</v>
      </c>
      <c r="AG58">
        <v>12456.144789</v>
      </c>
      <c r="AH58">
        <v>12455.384518000001</v>
      </c>
      <c r="AK58" s="3" t="str">
        <f ca="1">INDIRECT(ADDRESS(58,2))</f>
        <v>Rail</v>
      </c>
      <c r="AL58" s="3">
        <f ca="1">INDIRECT(ADDRESS(58,3))</f>
        <v>18225.297460000002</v>
      </c>
      <c r="AM58" s="4">
        <f ca="1">IFERROR(INDIRECT(ADDRESS(58,3)) / INDIRECT(ADDRESS(60,3)),0)</f>
        <v>3.7653559642219749E-4</v>
      </c>
      <c r="AN58" s="3">
        <f ca="1">INDIRECT(ADDRESS(58,9))</f>
        <v>15396.501157999999</v>
      </c>
      <c r="AO58" s="4">
        <f ca="1">IFERROR(INDIRECT(ADDRESS(58,9)) / INDIRECT(ADDRESS(60,9)),0)</f>
        <v>4.1502812169948893E-4</v>
      </c>
      <c r="AP58" s="4">
        <f ca="1">IFERROR((INDIRECT(ADDRESS(58,9)) - INDIRECT(ADDRESS(58,3)))/ INDIRECT(ADDRESS(58,3)),1)</f>
        <v>-0.1552126272950281</v>
      </c>
      <c r="AQ58" s="3">
        <f ca="1">INDIRECT(ADDRESS(58,14))</f>
        <v>14132.225085</v>
      </c>
      <c r="AR58" s="4">
        <f ca="1">IFERROR(INDIRECT(ADDRESS(58,14)) / INDIRECT(ADDRESS(60,14)),0)</f>
        <v>5.5679046780275664E-4</v>
      </c>
      <c r="AS58" s="4">
        <f ca="1">IFERROR((INDIRECT(ADDRESS(58,14)) - INDIRECT(ADDRESS(58,3)))/ INDIRECT(ADDRESS(58,3)),1)</f>
        <v>-0.22458192432706672</v>
      </c>
      <c r="AT58" s="3">
        <f ca="1">INDIRECT(ADDRESS(58,19))</f>
        <v>13194.182244</v>
      </c>
      <c r="AU58" s="4">
        <f ca="1">IFERROR(INDIRECT(ADDRESS(58,19)) / INDIRECT(ADDRESS(60,19)),0)</f>
        <v>7.7534289216553182E-4</v>
      </c>
      <c r="AV58" s="4">
        <f ca="1">IFERROR((INDIRECT(ADDRESS(58,19)) - INDIRECT(ADDRESS(58,3)))/ INDIRECT(ADDRESS(58,3)),1)</f>
        <v>-0.27605119900193947</v>
      </c>
      <c r="AW58" s="3">
        <f ca="1">INDIRECT(ADDRESS(58,24))</f>
        <v>12565.403920999999</v>
      </c>
      <c r="AX58" s="4">
        <f ca="1">IFERROR(INDIRECT(ADDRESS(58,24)) / INDIRECT(ADDRESS(60,24)),0)</f>
        <v>1.0059054809116344E-3</v>
      </c>
      <c r="AY58" s="4">
        <f ca="1">IFERROR((INDIRECT(ADDRESS(58,24)) - INDIRECT(ADDRESS(58,3)))/ INDIRECT(ADDRESS(58,3)),1)</f>
        <v>-0.31055150410697341</v>
      </c>
      <c r="AZ58" s="3">
        <f ca="1">INDIRECT(ADDRESS(58,29))</f>
        <v>12459.144624</v>
      </c>
      <c r="BA58" s="4">
        <f ca="1">IFERROR(INDIRECT(ADDRESS(58,29)) / INDIRECT(ADDRESS(60,29)),0)</f>
        <v>1.2074023379698225E-3</v>
      </c>
      <c r="BB58" s="4">
        <f ca="1">IFERROR((INDIRECT(ADDRESS(58,29)) - INDIRECT(ADDRESS(58,3)))/ INDIRECT(ADDRESS(58,3)),1)</f>
        <v>-0.3163818230487197</v>
      </c>
      <c r="BC58" s="3">
        <f ca="1">INDIRECT(ADDRESS(58,34))</f>
        <v>12455.384518000001</v>
      </c>
      <c r="BD58" s="4">
        <f ca="1">IFERROR(INDIRECT(ADDRESS(58,34)) / INDIRECT(ADDRESS(60,34)),0)</f>
        <v>1.352103984722502E-3</v>
      </c>
      <c r="BE58" s="4">
        <f ca="1">IFERROR((INDIRECT(ADDRESS(58,34)) - INDIRECT(ADDRESS(58,3)))/ INDIRECT(ADDRESS(58,3)),1)</f>
        <v>-0.31658813551128728</v>
      </c>
    </row>
    <row r="59" spans="1:57" x14ac:dyDescent="0.25">
      <c r="A59" s="5"/>
      <c r="B59" s="1" t="s">
        <v>142</v>
      </c>
      <c r="C59">
        <v>284513.37434799998</v>
      </c>
      <c r="D59">
        <v>284514.11931500002</v>
      </c>
      <c r="E59">
        <v>281404.27164499997</v>
      </c>
      <c r="F59">
        <v>278304.377615</v>
      </c>
      <c r="G59">
        <v>275192.81577300001</v>
      </c>
      <c r="H59">
        <v>272071.06105199998</v>
      </c>
      <c r="I59">
        <v>267849.628295</v>
      </c>
      <c r="J59">
        <v>264696.33763299999</v>
      </c>
      <c r="K59">
        <v>261542.741251</v>
      </c>
      <c r="L59">
        <v>258382.36786500001</v>
      </c>
      <c r="M59">
        <v>255213.851964</v>
      </c>
      <c r="N59">
        <v>252048.64456799999</v>
      </c>
      <c r="O59">
        <v>248923.36027199999</v>
      </c>
      <c r="P59">
        <v>245796.45150600001</v>
      </c>
      <c r="Q59">
        <v>242666.44560899999</v>
      </c>
      <c r="R59">
        <v>239533.272394</v>
      </c>
      <c r="S59">
        <v>236407.09857999999</v>
      </c>
      <c r="T59">
        <v>233253.69378100001</v>
      </c>
      <c r="U59">
        <v>230098.52798799999</v>
      </c>
      <c r="V59">
        <v>226943.054065</v>
      </c>
      <c r="W59">
        <v>226915.96313600001</v>
      </c>
      <c r="X59">
        <v>226891.30343199999</v>
      </c>
      <c r="Y59">
        <v>226870.02317199999</v>
      </c>
      <c r="Z59">
        <v>226851.09970600001</v>
      </c>
      <c r="AA59">
        <v>226836.17964399999</v>
      </c>
      <c r="AB59">
        <v>226826.602889</v>
      </c>
      <c r="AC59">
        <v>226823.146932</v>
      </c>
      <c r="AD59">
        <v>226839.63351000001</v>
      </c>
      <c r="AE59">
        <v>226862.97951500001</v>
      </c>
      <c r="AF59">
        <v>226890.02697800001</v>
      </c>
      <c r="AG59">
        <v>226912.91662</v>
      </c>
      <c r="AH59">
        <v>226900.76830299999</v>
      </c>
      <c r="AK59" s="3" t="str">
        <f ca="1">INDIRECT(ADDRESS(59,2))</f>
        <v>Urban Bus</v>
      </c>
      <c r="AL59" s="3">
        <f ca="1">INDIRECT(ADDRESS(59,3))</f>
        <v>284513.37434799998</v>
      </c>
      <c r="AM59" s="4">
        <f ca="1">IFERROR(INDIRECT(ADDRESS(59,3)) / INDIRECT(ADDRESS(60,3)),0)</f>
        <v>5.878061158416676E-3</v>
      </c>
      <c r="AN59" s="3">
        <f ca="1">INDIRECT(ADDRESS(59,9))</f>
        <v>267849.628295</v>
      </c>
      <c r="AO59" s="4">
        <f ca="1">IFERROR(INDIRECT(ADDRESS(59,9)) / INDIRECT(ADDRESS(60,9)),0)</f>
        <v>7.2201552150320137E-3</v>
      </c>
      <c r="AP59" s="4">
        <f ca="1">IFERROR((INDIRECT(ADDRESS(59,9)) - INDIRECT(ADDRESS(59,3)))/ INDIRECT(ADDRESS(59,3)),1)</f>
        <v>-5.8569289022658982E-2</v>
      </c>
      <c r="AQ59" s="3">
        <f ca="1">INDIRECT(ADDRESS(59,14))</f>
        <v>252048.64456799999</v>
      </c>
      <c r="AR59" s="4">
        <f ca="1">IFERROR(INDIRECT(ADDRESS(59,14)) / INDIRECT(ADDRESS(60,14)),0)</f>
        <v>9.9303741536796684E-3</v>
      </c>
      <c r="AS59" s="4">
        <f ca="1">IFERROR((INDIRECT(ADDRESS(59,14)) - INDIRECT(ADDRESS(59,3)))/ INDIRECT(ADDRESS(59,3)),1)</f>
        <v>-0.11410616409297882</v>
      </c>
      <c r="AT59" s="3">
        <f ca="1">INDIRECT(ADDRESS(59,19))</f>
        <v>236407.09857999999</v>
      </c>
      <c r="AU59" s="4">
        <f ca="1">IFERROR(INDIRECT(ADDRESS(59,19)) / INDIRECT(ADDRESS(60,19)),0)</f>
        <v>1.3892226145719076E-2</v>
      </c>
      <c r="AV59" s="4">
        <f ca="1">IFERROR((INDIRECT(ADDRESS(59,19)) - INDIRECT(ADDRESS(59,3)))/ INDIRECT(ADDRESS(59,3)),1)</f>
        <v>-0.16908265166177824</v>
      </c>
      <c r="AW59" s="3">
        <f ca="1">INDIRECT(ADDRESS(59,24))</f>
        <v>226891.30343199999</v>
      </c>
      <c r="AX59" s="4">
        <f ca="1">IFERROR(INDIRECT(ADDRESS(59,24)) / INDIRECT(ADDRESS(60,24)),0)</f>
        <v>1.816345953765966E-2</v>
      </c>
      <c r="AY59" s="4">
        <f ca="1">IFERROR((INDIRECT(ADDRESS(59,24)) - INDIRECT(ADDRESS(59,3)))/ INDIRECT(ADDRESS(59,3)),1)</f>
        <v>-0.20252851398655192</v>
      </c>
      <c r="AZ59" s="3">
        <f ca="1">INDIRECT(ADDRESS(59,29))</f>
        <v>226823.146932</v>
      </c>
      <c r="BA59" s="4">
        <f ca="1">IFERROR(INDIRECT(ADDRESS(59,29)) / INDIRECT(ADDRESS(60,29)),0)</f>
        <v>2.1981187808336446E-2</v>
      </c>
      <c r="BB59" s="4">
        <f ca="1">IFERROR((INDIRECT(ADDRESS(59,29)) - INDIRECT(ADDRESS(59,3)))/ INDIRECT(ADDRESS(59,3)),1)</f>
        <v>-0.20276806863018221</v>
      </c>
      <c r="BC59" s="3">
        <f ca="1">INDIRECT(ADDRESS(59,34))</f>
        <v>226900.76830299999</v>
      </c>
      <c r="BD59" s="4">
        <f ca="1">IFERROR(INDIRECT(ADDRESS(59,34)) / INDIRECT(ADDRESS(60,34)),0)</f>
        <v>2.4631389943499411E-2</v>
      </c>
      <c r="BE59" s="4">
        <f ca="1">IFERROR((INDIRECT(ADDRESS(59,34)) - INDIRECT(ADDRESS(59,3)))/ INDIRECT(ADDRESS(59,3)),1)</f>
        <v>-0.20249524711106076</v>
      </c>
    </row>
    <row r="60" spans="1:57" x14ac:dyDescent="0.25">
      <c r="A60" s="1" t="s">
        <v>21</v>
      </c>
      <c r="B60" s="1"/>
      <c r="C60">
        <v>48402588.316150993</v>
      </c>
      <c r="D60">
        <v>47684410.857943997</v>
      </c>
      <c r="E60">
        <v>45972431.488372996</v>
      </c>
      <c r="F60">
        <v>44082285.326485001</v>
      </c>
      <c r="G60">
        <v>42283146.960830003</v>
      </c>
      <c r="H60">
        <v>40114476.184306003</v>
      </c>
      <c r="I60">
        <v>37097488.948346987</v>
      </c>
      <c r="J60">
        <v>34741906.992461987</v>
      </c>
      <c r="K60">
        <v>32315733.241462</v>
      </c>
      <c r="L60">
        <v>29871818.080673002</v>
      </c>
      <c r="M60">
        <v>27511250.169123001</v>
      </c>
      <c r="N60">
        <v>25381585.896701001</v>
      </c>
      <c r="O60">
        <v>23496561.666869</v>
      </c>
      <c r="P60">
        <v>21792690.782763001</v>
      </c>
      <c r="Q60">
        <v>20194434.054933</v>
      </c>
      <c r="R60">
        <v>18510870.683389001</v>
      </c>
      <c r="S60">
        <v>17017222.157217</v>
      </c>
      <c r="T60">
        <v>15974814.610569</v>
      </c>
      <c r="U60">
        <v>14940717.209171999</v>
      </c>
      <c r="V60">
        <v>13948437.461154999</v>
      </c>
      <c r="W60">
        <v>13192193.367798001</v>
      </c>
      <c r="X60">
        <v>12491634.810074</v>
      </c>
      <c r="Y60">
        <v>11972629.517793</v>
      </c>
      <c r="Z60">
        <v>11489094.955050001</v>
      </c>
      <c r="AA60">
        <v>11051667.72487</v>
      </c>
      <c r="AB60">
        <v>10662871.660877001</v>
      </c>
      <c r="AC60">
        <v>10318966.786953</v>
      </c>
      <c r="AD60">
        <v>10034558.305865999</v>
      </c>
      <c r="AE60">
        <v>9788014.102062</v>
      </c>
      <c r="AF60">
        <v>9573531.3974399976</v>
      </c>
      <c r="AG60">
        <v>9384204.0709239971</v>
      </c>
      <c r="AH60">
        <v>9211854.0132519994</v>
      </c>
    </row>
    <row r="61" spans="1:57" x14ac:dyDescent="0.25">
      <c r="A61" s="5" t="s">
        <v>6</v>
      </c>
      <c r="B61" s="1" t="s">
        <v>169</v>
      </c>
      <c r="C61">
        <v>7872484.352</v>
      </c>
      <c r="D61">
        <v>7872484.352</v>
      </c>
      <c r="E61">
        <v>7785012.07424</v>
      </c>
      <c r="F61">
        <v>7697540.2657160005</v>
      </c>
      <c r="G61">
        <v>7610068.4571930002</v>
      </c>
      <c r="H61">
        <v>7522596.1794330003</v>
      </c>
      <c r="I61">
        <v>7435123.9016730003</v>
      </c>
      <c r="J61">
        <v>7347652.0931489998</v>
      </c>
      <c r="K61">
        <v>7260180.2846259996</v>
      </c>
      <c r="L61">
        <v>7172708.0068650004</v>
      </c>
      <c r="M61">
        <v>7085235.7291050004</v>
      </c>
      <c r="N61">
        <v>6997763.9205820002</v>
      </c>
      <c r="O61">
        <v>6910292.1120579997</v>
      </c>
      <c r="P61">
        <v>6822819.8342979997</v>
      </c>
      <c r="Q61">
        <v>6735347.5565379998</v>
      </c>
      <c r="R61">
        <v>6647875.7480149996</v>
      </c>
      <c r="S61">
        <v>6560403.939491</v>
      </c>
      <c r="T61">
        <v>6472931.6617310001</v>
      </c>
      <c r="U61">
        <v>6385459.3839710001</v>
      </c>
      <c r="V61">
        <v>6297987.5754469996</v>
      </c>
      <c r="W61">
        <v>6297987.5754469996</v>
      </c>
      <c r="X61">
        <v>6297987.5754469996</v>
      </c>
      <c r="Y61">
        <v>6297987.5754469996</v>
      </c>
      <c r="Z61">
        <v>6297987.5754469996</v>
      </c>
      <c r="AA61">
        <v>6297987.5754469996</v>
      </c>
      <c r="AB61">
        <v>6297987.5754469996</v>
      </c>
      <c r="AC61">
        <v>6297987.5754469996</v>
      </c>
      <c r="AD61">
        <v>6297987.5754469996</v>
      </c>
      <c r="AE61">
        <v>6297987.5754469996</v>
      </c>
      <c r="AF61">
        <v>6297987.5754469996</v>
      </c>
      <c r="AG61">
        <v>6297987.5754469996</v>
      </c>
      <c r="AH61">
        <v>6297987.5754469996</v>
      </c>
      <c r="AK61" s="3" t="str">
        <f ca="1">INDIRECT(ADDRESS(61,2))</f>
        <v>Aviation</v>
      </c>
      <c r="AL61" s="3">
        <f ca="1">INDIRECT(ADDRESS(61,3))</f>
        <v>7872484.352</v>
      </c>
      <c r="AM61" s="4">
        <f ca="1">IFERROR(INDIRECT(ADDRESS(61,3)) / INDIRECT(ADDRESS(68,3)),0)</f>
        <v>0.16264593745647082</v>
      </c>
      <c r="AN61" s="3">
        <f ca="1">INDIRECT(ADDRESS(61,9))</f>
        <v>7435123.9016730003</v>
      </c>
      <c r="AO61" s="4">
        <f ca="1">IFERROR(INDIRECT(ADDRESS(61,9)) / INDIRECT(ADDRESS(68,9)),0)</f>
        <v>0.20049358255488067</v>
      </c>
      <c r="AP61" s="4">
        <f ca="1">IFERROR((INDIRECT(ADDRESS(61,9)) - INDIRECT(ADDRESS(61,3)))/ INDIRECT(ADDRESS(61,3)),1)</f>
        <v>-5.5555582046458878E-2</v>
      </c>
      <c r="AQ61" s="3">
        <f ca="1">INDIRECT(ADDRESS(61,14))</f>
        <v>6997763.9205820002</v>
      </c>
      <c r="AR61" s="4">
        <f ca="1">IFERROR(INDIRECT(ADDRESS(61,14)) / INDIRECT(ADDRESS(68,14)),0)</f>
        <v>0.27600941598310175</v>
      </c>
      <c r="AS61" s="4">
        <f ca="1">IFERROR((INDIRECT(ADDRESS(61,14)) - INDIRECT(ADDRESS(61,3)))/ INDIRECT(ADDRESS(61,3)),1)</f>
        <v>-0.11111110448835348</v>
      </c>
      <c r="AT61" s="3">
        <f ca="1">INDIRECT(ADDRESS(61,19))</f>
        <v>6560403.939491</v>
      </c>
      <c r="AU61" s="4">
        <f ca="1">IFERROR(INDIRECT(ADDRESS(61,19)) / INDIRECT(ADDRESS(68,19)),0)</f>
        <v>0.38652986724868055</v>
      </c>
      <c r="AV61" s="4">
        <f ca="1">IFERROR((INDIRECT(ADDRESS(61,19)) - INDIRECT(ADDRESS(61,3)))/ INDIRECT(ADDRESS(61,3)),1)</f>
        <v>-0.16666662693024809</v>
      </c>
      <c r="AW61" s="3">
        <f ca="1">INDIRECT(ADDRESS(61,24))</f>
        <v>6297987.5754469996</v>
      </c>
      <c r="AX61" s="4">
        <f ca="1">IFERROR(INDIRECT(ADDRESS(61,24)) / INDIRECT(ADDRESS(68,24)),0)</f>
        <v>0.50498847424658244</v>
      </c>
      <c r="AY61" s="4">
        <f ca="1">IFERROR((INDIRECT(ADDRESS(61,24)) - INDIRECT(ADDRESS(61,3)))/ INDIRECT(ADDRESS(61,3)),1)</f>
        <v>-0.19999998807911257</v>
      </c>
      <c r="AZ61" s="3">
        <f ca="1">INDIRECT(ADDRESS(61,29))</f>
        <v>6297987.5754469996</v>
      </c>
      <c r="BA61" s="4">
        <f ca="1">IFERROR(INDIRECT(ADDRESS(61,29)) / INDIRECT(ADDRESS(68,29)),0)</f>
        <v>0.60877969747168204</v>
      </c>
      <c r="BB61" s="4">
        <f ca="1">IFERROR((INDIRECT(ADDRESS(61,29)) - INDIRECT(ADDRESS(61,3)))/ INDIRECT(ADDRESS(61,3)),1)</f>
        <v>-0.19999998807911257</v>
      </c>
      <c r="BC61" s="3">
        <f ca="1">INDIRECT(ADDRESS(61,34))</f>
        <v>6297987.5754469996</v>
      </c>
      <c r="BD61" s="4">
        <f ca="1">IFERROR(INDIRECT(ADDRESS(61,34)) / INDIRECT(ADDRESS(68,34)),0)</f>
        <v>0.68175582298269166</v>
      </c>
      <c r="BE61" s="4">
        <f ca="1">IFERROR((INDIRECT(ADDRESS(61,34)) - INDIRECT(ADDRESS(61,3)))/ INDIRECT(ADDRESS(61,3)),1)</f>
        <v>-0.19999998807911257</v>
      </c>
    </row>
    <row r="62" spans="1:57" x14ac:dyDescent="0.25">
      <c r="A62" s="5"/>
      <c r="B62" s="1" t="s">
        <v>139</v>
      </c>
      <c r="C62">
        <v>8422611.7638140004</v>
      </c>
      <c r="D62">
        <v>8778290.734615</v>
      </c>
      <c r="E62">
        <v>8465207.7324199993</v>
      </c>
      <c r="F62">
        <v>8163446.9230359998</v>
      </c>
      <c r="G62">
        <v>7834760.6778270006</v>
      </c>
      <c r="H62">
        <v>7411328.8067500005</v>
      </c>
      <c r="I62">
        <v>6476143.0991719998</v>
      </c>
      <c r="J62">
        <v>5927440.8801159998</v>
      </c>
      <c r="K62">
        <v>5302341.0144199999</v>
      </c>
      <c r="L62">
        <v>4665563.3589939997</v>
      </c>
      <c r="M62">
        <v>4059885.560325</v>
      </c>
      <c r="N62">
        <v>3548085.1672970001</v>
      </c>
      <c r="O62">
        <v>3167782.4742549998</v>
      </c>
      <c r="P62">
        <v>2858702.0613600002</v>
      </c>
      <c r="Q62">
        <v>2580699.2919319998</v>
      </c>
      <c r="R62">
        <v>2249501.2430560002</v>
      </c>
      <c r="S62">
        <v>1995011.4166550001</v>
      </c>
      <c r="T62">
        <v>1733972.868821</v>
      </c>
      <c r="U62">
        <v>1468299.4906039999</v>
      </c>
      <c r="V62">
        <v>1216742.801639</v>
      </c>
      <c r="W62">
        <v>1004583.7972950001</v>
      </c>
      <c r="X62">
        <v>818103.89428200002</v>
      </c>
      <c r="Y62">
        <v>655360.86774999998</v>
      </c>
      <c r="Z62">
        <v>509682.52035300003</v>
      </c>
      <c r="AA62">
        <v>385937.01865099999</v>
      </c>
      <c r="AB62">
        <v>284952.65985900001</v>
      </c>
      <c r="AC62">
        <v>204801.06276999999</v>
      </c>
      <c r="AD62">
        <v>146035.13296399999</v>
      </c>
      <c r="AE62">
        <v>104584.77402500001</v>
      </c>
      <c r="AF62">
        <v>77693.059813</v>
      </c>
      <c r="AG62">
        <v>62108.330865999997</v>
      </c>
      <c r="AH62">
        <v>54004.413219000002</v>
      </c>
      <c r="AK62" s="3" t="str">
        <f ca="1">INDIRECT(ADDRESS(62,2))</f>
        <v>Car</v>
      </c>
      <c r="AL62" s="3">
        <f ca="1">INDIRECT(ADDRESS(62,3))</f>
        <v>8422611.7638140004</v>
      </c>
      <c r="AM62" s="4">
        <f ca="1">IFERROR(INDIRECT(ADDRESS(62,3)) / INDIRECT(ADDRESS(68,3)),0)</f>
        <v>0.1740115984872557</v>
      </c>
      <c r="AN62" s="3">
        <f ca="1">INDIRECT(ADDRESS(62,9))</f>
        <v>6476143.0991719998</v>
      </c>
      <c r="AO62" s="4">
        <f ca="1">IFERROR(INDIRECT(ADDRESS(62,9)) / INDIRECT(ADDRESS(68,9)),0)</f>
        <v>0.17463396014139043</v>
      </c>
      <c r="AP62" s="4">
        <f ca="1">IFERROR((INDIRECT(ADDRESS(62,9)) - INDIRECT(ADDRESS(62,3)))/ INDIRECT(ADDRESS(62,3)),1)</f>
        <v>-0.23110036639758208</v>
      </c>
      <c r="AQ62" s="3">
        <f ca="1">INDIRECT(ADDRESS(62,14))</f>
        <v>3548085.1672970001</v>
      </c>
      <c r="AR62" s="4">
        <f ca="1">IFERROR(INDIRECT(ADDRESS(62,14)) / INDIRECT(ADDRESS(68,14)),0)</f>
        <v>0.13994540627522378</v>
      </c>
      <c r="AS62" s="4">
        <f ca="1">IFERROR((INDIRECT(ADDRESS(62,14)) - INDIRECT(ADDRESS(62,3)))/ INDIRECT(ADDRESS(62,3)),1)</f>
        <v>-0.57874288085548353</v>
      </c>
      <c r="AT62" s="3">
        <f ca="1">INDIRECT(ADDRESS(62,19))</f>
        <v>1995011.4166550001</v>
      </c>
      <c r="AU62" s="4">
        <f ca="1">IFERROR(INDIRECT(ADDRESS(62,19)) / INDIRECT(ADDRESS(68,19)),0)</f>
        <v>0.11754329537505412</v>
      </c>
      <c r="AV62" s="4">
        <f ca="1">IFERROR((INDIRECT(ADDRESS(62,19)) - INDIRECT(ADDRESS(62,3)))/ INDIRECT(ADDRESS(62,3)),1)</f>
        <v>-0.76313624887399512</v>
      </c>
      <c r="AW62" s="3">
        <f ca="1">INDIRECT(ADDRESS(62,24))</f>
        <v>818103.89428200002</v>
      </c>
      <c r="AX62" s="4">
        <f ca="1">IFERROR(INDIRECT(ADDRESS(62,24)) / INDIRECT(ADDRESS(68,24)),0)</f>
        <v>6.5597626606834394E-2</v>
      </c>
      <c r="AY62" s="4">
        <f ca="1">IFERROR((INDIRECT(ADDRESS(62,24)) - INDIRECT(ADDRESS(62,3)))/ INDIRECT(ADDRESS(62,3)),1)</f>
        <v>-0.9028681462207705</v>
      </c>
      <c r="AZ62" s="3">
        <f ca="1">INDIRECT(ADDRESS(62,29))</f>
        <v>204801.06276999999</v>
      </c>
      <c r="BA62" s="4">
        <f ca="1">IFERROR(INDIRECT(ADDRESS(62,29)) / INDIRECT(ADDRESS(68,29)),0)</f>
        <v>1.9796598126211845E-2</v>
      </c>
      <c r="BB62" s="4">
        <f ca="1">IFERROR((INDIRECT(ADDRESS(62,29)) - INDIRECT(ADDRESS(62,3)))/ INDIRECT(ADDRESS(62,3)),1)</f>
        <v>-0.97568437575979883</v>
      </c>
      <c r="BC62" s="3">
        <f ca="1">INDIRECT(ADDRESS(62,34))</f>
        <v>54004.413219000002</v>
      </c>
      <c r="BD62" s="4">
        <f ca="1">IFERROR(INDIRECT(ADDRESS(62,34)) / INDIRECT(ADDRESS(68,34)),0)</f>
        <v>5.8459663087226015E-3</v>
      </c>
      <c r="BE62" s="4">
        <f ca="1">IFERROR((INDIRECT(ADDRESS(62,34)) - INDIRECT(ADDRESS(62,3)))/ INDIRECT(ADDRESS(62,3)),1)</f>
        <v>-0.99358816306231534</v>
      </c>
    </row>
    <row r="63" spans="1:57" x14ac:dyDescent="0.25">
      <c r="A63" s="5"/>
      <c r="B63" s="1" t="s">
        <v>140</v>
      </c>
      <c r="C63">
        <v>18055216.234627001</v>
      </c>
      <c r="D63">
        <v>16509207.333001999</v>
      </c>
      <c r="E63">
        <v>15311519.534971001</v>
      </c>
      <c r="F63">
        <v>14160005.864518</v>
      </c>
      <c r="G63">
        <v>13050893.440083001</v>
      </c>
      <c r="H63">
        <v>11985563.168661</v>
      </c>
      <c r="I63">
        <v>10872198.725256</v>
      </c>
      <c r="J63">
        <v>9837677.6923019998</v>
      </c>
      <c r="K63">
        <v>8851778.1785029992</v>
      </c>
      <c r="L63">
        <v>7926098.3700789995</v>
      </c>
      <c r="M63">
        <v>7054796.4661290003</v>
      </c>
      <c r="N63">
        <v>6234897.5775230005</v>
      </c>
      <c r="O63">
        <v>5458043.6860640002</v>
      </c>
      <c r="P63">
        <v>4719791.9619429996</v>
      </c>
      <c r="Q63">
        <v>4014019.1572980001</v>
      </c>
      <c r="R63">
        <v>3336028.347972</v>
      </c>
      <c r="S63">
        <v>2682356.1787399999</v>
      </c>
      <c r="T63">
        <v>2489566.4324969999</v>
      </c>
      <c r="U63">
        <v>2303029.4045330002</v>
      </c>
      <c r="V63">
        <v>2122096.0804110002</v>
      </c>
      <c r="W63">
        <v>1963816.105769</v>
      </c>
      <c r="X63">
        <v>1806983.2462239999</v>
      </c>
      <c r="Y63">
        <v>1650537.6966359999</v>
      </c>
      <c r="Z63">
        <v>1494686.386277</v>
      </c>
      <c r="AA63">
        <v>1339191.5220570001</v>
      </c>
      <c r="AB63">
        <v>1183893.6013549999</v>
      </c>
      <c r="AC63">
        <v>1028519.587768</v>
      </c>
      <c r="AD63">
        <v>875120.00644000003</v>
      </c>
      <c r="AE63">
        <v>721680.08020600001</v>
      </c>
      <c r="AF63">
        <v>568162.40116000001</v>
      </c>
      <c r="AG63">
        <v>414599.26539999997</v>
      </c>
      <c r="AH63">
        <v>260945.100355</v>
      </c>
      <c r="AK63" s="3" t="str">
        <f ca="1">INDIRECT(ADDRESS(63,2))</f>
        <v>Heavy Truck</v>
      </c>
      <c r="AL63" s="3">
        <f ca="1">INDIRECT(ADDRESS(63,3))</f>
        <v>18055216.234627001</v>
      </c>
      <c r="AM63" s="4">
        <f ca="1">IFERROR(INDIRECT(ADDRESS(63,3)) / INDIRECT(ADDRESS(68,3)),0)</f>
        <v>0.37302170943206214</v>
      </c>
      <c r="AN63" s="3">
        <f ca="1">INDIRECT(ADDRESS(63,9))</f>
        <v>10872198.725256</v>
      </c>
      <c r="AO63" s="4">
        <f ca="1">IFERROR(INDIRECT(ADDRESS(63,9)) / INDIRECT(ADDRESS(68,9)),0)</f>
        <v>0.2931768322226207</v>
      </c>
      <c r="AP63" s="4">
        <f ca="1">IFERROR((INDIRECT(ADDRESS(63,9)) - INDIRECT(ADDRESS(63,3)))/ INDIRECT(ADDRESS(63,3)),1)</f>
        <v>-0.39783613865532824</v>
      </c>
      <c r="AQ63" s="3">
        <f ca="1">INDIRECT(ADDRESS(63,14))</f>
        <v>6234897.5775230005</v>
      </c>
      <c r="AR63" s="4">
        <f ca="1">IFERROR(INDIRECT(ADDRESS(63,14)) / INDIRECT(ADDRESS(68,14)),0)</f>
        <v>0.24592004797776226</v>
      </c>
      <c r="AS63" s="4">
        <f ca="1">IFERROR((INDIRECT(ADDRESS(63,14)) - INDIRECT(ADDRESS(63,3)))/ INDIRECT(ADDRESS(63,3)),1)</f>
        <v>-0.65467610597953019</v>
      </c>
      <c r="AT63" s="3">
        <f ca="1">INDIRECT(ADDRESS(63,19))</f>
        <v>2682356.1787399999</v>
      </c>
      <c r="AU63" s="4">
        <f ca="1">IFERROR(INDIRECT(ADDRESS(63,19)) / INDIRECT(ADDRESS(68,19)),0)</f>
        <v>0.15804069189106867</v>
      </c>
      <c r="AV63" s="4">
        <f ca="1">IFERROR((INDIRECT(ADDRESS(63,19)) - INDIRECT(ADDRESS(63,3)))/ INDIRECT(ADDRESS(63,3)),1)</f>
        <v>-0.85143594272797063</v>
      </c>
      <c r="AW63" s="3">
        <f ca="1">INDIRECT(ADDRESS(63,24))</f>
        <v>1806983.2462239999</v>
      </c>
      <c r="AX63" s="4">
        <f ca="1">IFERROR(INDIRECT(ADDRESS(63,24)) / INDIRECT(ADDRESS(68,24)),0)</f>
        <v>0.14488845866531089</v>
      </c>
      <c r="AY63" s="4">
        <f ca="1">IFERROR((INDIRECT(ADDRESS(63,24)) - INDIRECT(ADDRESS(63,3)))/ INDIRECT(ADDRESS(63,3)),1)</f>
        <v>-0.8999190470641667</v>
      </c>
      <c r="AZ63" s="3">
        <f ca="1">INDIRECT(ADDRESS(63,29))</f>
        <v>1028519.587768</v>
      </c>
      <c r="BA63" s="4">
        <f ca="1">IFERROR(INDIRECT(ADDRESS(63,29)) / INDIRECT(ADDRESS(68,29)),0)</f>
        <v>9.9419351973024761E-2</v>
      </c>
      <c r="BB63" s="4">
        <f ca="1">IFERROR((INDIRECT(ADDRESS(63,29)) - INDIRECT(ADDRESS(63,3)))/ INDIRECT(ADDRESS(63,3)),1)</f>
        <v>-0.94303476765925054</v>
      </c>
      <c r="BC63" s="3">
        <f ca="1">INDIRECT(ADDRESS(63,34))</f>
        <v>260945.100355</v>
      </c>
      <c r="BD63" s="4">
        <f ca="1">IFERROR(INDIRECT(ADDRESS(63,34)) / INDIRECT(ADDRESS(68,34)),0)</f>
        <v>2.8247251922086807E-2</v>
      </c>
      <c r="BE63" s="4">
        <f ca="1">IFERROR((INDIRECT(ADDRESS(63,34)) - INDIRECT(ADDRESS(63,3)))/ INDIRECT(ADDRESS(63,3)),1)</f>
        <v>-0.98554738437003331</v>
      </c>
    </row>
    <row r="64" spans="1:57" x14ac:dyDescent="0.25">
      <c r="A64" s="5"/>
      <c r="B64" s="1" t="s">
        <v>141</v>
      </c>
      <c r="C64">
        <v>8031389.0061720004</v>
      </c>
      <c r="D64">
        <v>8503564.3104120009</v>
      </c>
      <c r="E64">
        <v>8456638.4810809996</v>
      </c>
      <c r="F64">
        <v>8174012.2590129999</v>
      </c>
      <c r="G64">
        <v>7988501.9034320004</v>
      </c>
      <c r="H64">
        <v>7593142.9184990004</v>
      </c>
      <c r="I64">
        <v>6942858.6576199997</v>
      </c>
      <c r="J64">
        <v>6465423.0518460004</v>
      </c>
      <c r="K64">
        <v>5942734.8828360001</v>
      </c>
      <c r="L64">
        <v>5352560.6139890002</v>
      </c>
      <c r="M64">
        <v>4761591.6619459996</v>
      </c>
      <c r="N64">
        <v>4257996.7051240001</v>
      </c>
      <c r="O64">
        <v>3810068.7147050002</v>
      </c>
      <c r="P64">
        <v>3430731.7227050001</v>
      </c>
      <c r="Q64">
        <v>3090736.5858459999</v>
      </c>
      <c r="R64">
        <v>2687835.0113309999</v>
      </c>
      <c r="S64">
        <v>2371885.676831</v>
      </c>
      <c r="T64">
        <v>2053823.9405050001</v>
      </c>
      <c r="U64">
        <v>1739666.657017</v>
      </c>
      <c r="V64">
        <v>1444951.4651180001</v>
      </c>
      <c r="W64">
        <v>1197209.7568950001</v>
      </c>
      <c r="X64">
        <v>979251.35435200005</v>
      </c>
      <c r="Y64">
        <v>789281.64899300004</v>
      </c>
      <c r="Z64">
        <v>617713.18238100002</v>
      </c>
      <c r="AA64">
        <v>470394.09515200002</v>
      </c>
      <c r="AB64">
        <v>349075.33075700002</v>
      </c>
      <c r="AC64">
        <v>251973.40380500001</v>
      </c>
      <c r="AD64">
        <v>179921.100798</v>
      </c>
      <c r="AE64">
        <v>128393.454526</v>
      </c>
      <c r="AF64">
        <v>94401.029884999996</v>
      </c>
      <c r="AG64">
        <v>74344.880487000002</v>
      </c>
      <c r="AH64">
        <v>63745.027484999999</v>
      </c>
      <c r="AK64" s="3" t="str">
        <f ca="1">INDIRECT(ADDRESS(64,2))</f>
        <v>Light Truck</v>
      </c>
      <c r="AL64" s="3">
        <f ca="1">INDIRECT(ADDRESS(64,3))</f>
        <v>8031389.0061720004</v>
      </c>
      <c r="AM64" s="4">
        <f ca="1">IFERROR(INDIRECT(ADDRESS(64,3)) / INDIRECT(ADDRESS(68,3)),0)</f>
        <v>0.16592891590245978</v>
      </c>
      <c r="AN64" s="3">
        <f ca="1">INDIRECT(ADDRESS(64,9))</f>
        <v>6942858.6576199997</v>
      </c>
      <c r="AO64" s="4">
        <f ca="1">IFERROR(INDIRECT(ADDRESS(64,9)) / INDIRECT(ADDRESS(68,9)),0)</f>
        <v>0.1872192883194839</v>
      </c>
      <c r="AP64" s="4">
        <f ca="1">IFERROR((INDIRECT(ADDRESS(64,9)) - INDIRECT(ADDRESS(64,3)))/ INDIRECT(ADDRESS(64,3)),1)</f>
        <v>-0.1355345068848591</v>
      </c>
      <c r="AQ64" s="3">
        <f ca="1">INDIRECT(ADDRESS(64,14))</f>
        <v>4257996.7051240001</v>
      </c>
      <c r="AR64" s="4">
        <f ca="1">IFERROR(INDIRECT(ADDRESS(64,14)) / INDIRECT(ADDRESS(68,14)),0)</f>
        <v>0.16794610352352413</v>
      </c>
      <c r="AS64" s="4">
        <f ca="1">IFERROR((INDIRECT(ADDRESS(64,14)) - INDIRECT(ADDRESS(64,3)))/ INDIRECT(ADDRESS(64,3)),1)</f>
        <v>-0.46983059818771145</v>
      </c>
      <c r="AT64" s="3">
        <f ca="1">INDIRECT(ADDRESS(64,19))</f>
        <v>2371885.676831</v>
      </c>
      <c r="AU64" s="4">
        <f ca="1">IFERROR(INDIRECT(ADDRESS(64,19)) / INDIRECT(ADDRESS(68,19)),0)</f>
        <v>0.13974820213062447</v>
      </c>
      <c r="AV64" s="4">
        <f ca="1">IFERROR((INDIRECT(ADDRESS(64,19)) - INDIRECT(ADDRESS(64,3)))/ INDIRECT(ADDRESS(64,3)),1)</f>
        <v>-0.70467304285619303</v>
      </c>
      <c r="AW64" s="3">
        <f ca="1">INDIRECT(ADDRESS(64,24))</f>
        <v>979251.35435200005</v>
      </c>
      <c r="AX64" s="4">
        <f ca="1">IFERROR(INDIRECT(ADDRESS(64,24)) / INDIRECT(ADDRESS(68,24)),0)</f>
        <v>7.8518835011042079E-2</v>
      </c>
      <c r="AY64" s="4">
        <f ca="1">IFERROR((INDIRECT(ADDRESS(64,24)) - INDIRECT(ADDRESS(64,3)))/ INDIRECT(ADDRESS(64,3)),1)</f>
        <v>-0.87807198062508729</v>
      </c>
      <c r="AZ64" s="3">
        <f ca="1">INDIRECT(ADDRESS(64,29))</f>
        <v>251973.40380500001</v>
      </c>
      <c r="BA64" s="4">
        <f ca="1">IFERROR(INDIRECT(ADDRESS(64,29)) / INDIRECT(ADDRESS(68,29)),0)</f>
        <v>2.4356398087754336E-2</v>
      </c>
      <c r="BB64" s="4">
        <f ca="1">IFERROR((INDIRECT(ADDRESS(64,29)) - INDIRECT(ADDRESS(64,3)))/ INDIRECT(ADDRESS(64,3)),1)</f>
        <v>-0.96862642270081023</v>
      </c>
      <c r="BC64" s="3">
        <f ca="1">INDIRECT(ADDRESS(64,34))</f>
        <v>63745.027484999999</v>
      </c>
      <c r="BD64" s="4">
        <f ca="1">IFERROR(INDIRECT(ADDRESS(64,34)) / INDIRECT(ADDRESS(68,34)),0)</f>
        <v>6.9003857428229379E-3</v>
      </c>
      <c r="BE64" s="4">
        <f ca="1">IFERROR((INDIRECT(ADDRESS(64,34)) - INDIRECT(ADDRESS(64,3)))/ INDIRECT(ADDRESS(64,3)),1)</f>
        <v>-0.99206301332982216</v>
      </c>
    </row>
    <row r="65" spans="1:57" x14ac:dyDescent="0.25">
      <c r="A65" s="5"/>
      <c r="B65" s="1" t="s">
        <v>170</v>
      </c>
      <c r="C65">
        <v>5718148.28773</v>
      </c>
      <c r="D65">
        <v>5718148.28773</v>
      </c>
      <c r="E65">
        <v>5654613.1401279997</v>
      </c>
      <c r="F65">
        <v>5591078.333354</v>
      </c>
      <c r="G65">
        <v>5504549.1214489993</v>
      </c>
      <c r="H65">
        <v>5308969.3331880001</v>
      </c>
      <c r="I65">
        <v>5074742.1095979996</v>
      </c>
      <c r="J65">
        <v>4864553.408605</v>
      </c>
      <c r="K65">
        <v>4656628.8013230003</v>
      </c>
      <c r="L65">
        <v>4451051.0580979995</v>
      </c>
      <c r="M65">
        <v>4247985.7098639999</v>
      </c>
      <c r="N65">
        <v>4048572.9523430001</v>
      </c>
      <c r="O65">
        <v>3854878.1120079998</v>
      </c>
      <c r="P65">
        <v>3664477.8016860001</v>
      </c>
      <c r="Q65">
        <v>3477390.63479</v>
      </c>
      <c r="R65">
        <v>3293636.9426230001</v>
      </c>
      <c r="S65">
        <v>3113441.8524290002</v>
      </c>
      <c r="T65">
        <v>2936891.5677009998</v>
      </c>
      <c r="U65">
        <v>2763846.9060829999</v>
      </c>
      <c r="V65">
        <v>2594332.9229609999</v>
      </c>
      <c r="W65">
        <v>2462030.1351800002</v>
      </c>
      <c r="X65">
        <v>2329809.433125</v>
      </c>
      <c r="Y65">
        <v>2328697.8951940001</v>
      </c>
      <c r="Z65">
        <v>2327436.1177110001</v>
      </c>
      <c r="AA65">
        <v>2326013.6918759998</v>
      </c>
      <c r="AB65">
        <v>2324464.1862840001</v>
      </c>
      <c r="AC65">
        <v>2322649.4291360001</v>
      </c>
      <c r="AD65">
        <v>2322442.1811600002</v>
      </c>
      <c r="AE65">
        <v>2322259.840026</v>
      </c>
      <c r="AF65">
        <v>2322097.5501950001</v>
      </c>
      <c r="AG65">
        <v>2321987.615396</v>
      </c>
      <c r="AH65">
        <v>2321805.2425219999</v>
      </c>
      <c r="AK65" s="3" t="str">
        <f ca="1">INDIRECT(ADDRESS(65,2))</f>
        <v>Marine</v>
      </c>
      <c r="AL65" s="3">
        <f ca="1">INDIRECT(ADDRESS(65,3))</f>
        <v>5718148.28773</v>
      </c>
      <c r="AM65" s="4">
        <f ca="1">IFERROR(INDIRECT(ADDRESS(65,3)) / INDIRECT(ADDRESS(68,3)),0)</f>
        <v>0.11813724196691287</v>
      </c>
      <c r="AN65" s="3">
        <f ca="1">INDIRECT(ADDRESS(65,9))</f>
        <v>5074742.1095979996</v>
      </c>
      <c r="AO65" s="4">
        <f ca="1">IFERROR(INDIRECT(ADDRESS(65,9)) / INDIRECT(ADDRESS(68,9)),0)</f>
        <v>0.1368441521016853</v>
      </c>
      <c r="AP65" s="4">
        <f ca="1">IFERROR((INDIRECT(ADDRESS(65,9)) - INDIRECT(ADDRESS(65,3)))/ INDIRECT(ADDRESS(65,3)),1)</f>
        <v>-0.11252002322371056</v>
      </c>
      <c r="AQ65" s="3">
        <f ca="1">INDIRECT(ADDRESS(65,14))</f>
        <v>4048572.9523430001</v>
      </c>
      <c r="AR65" s="4">
        <f ca="1">IFERROR(INDIRECT(ADDRESS(65,14)) / INDIRECT(ADDRESS(68,14)),0)</f>
        <v>0.15968590378628209</v>
      </c>
      <c r="AS65" s="4">
        <f ca="1">IFERROR((INDIRECT(ADDRESS(65,14)) - INDIRECT(ADDRESS(65,3)))/ INDIRECT(ADDRESS(65,3)),1)</f>
        <v>-0.2919783208437553</v>
      </c>
      <c r="AT65" s="3">
        <f ca="1">INDIRECT(ADDRESS(65,19))</f>
        <v>3113441.8524290002</v>
      </c>
      <c r="AU65" s="4">
        <f ca="1">IFERROR(INDIRECT(ADDRESS(65,19)) / INDIRECT(ADDRESS(68,19)),0)</f>
        <v>0.18343965966206013</v>
      </c>
      <c r="AV65" s="4">
        <f ca="1">IFERROR((INDIRECT(ADDRESS(65,19)) - INDIRECT(ADDRESS(65,3)))/ INDIRECT(ADDRESS(65,3)),1)</f>
        <v>-0.4555157201659456</v>
      </c>
      <c r="AW65" s="3">
        <f ca="1">INDIRECT(ADDRESS(65,24))</f>
        <v>2329809.433125</v>
      </c>
      <c r="AX65" s="4">
        <f ca="1">IFERROR(INDIRECT(ADDRESS(65,24)) / INDIRECT(ADDRESS(68,24)),0)</f>
        <v>0.1868099764924647</v>
      </c>
      <c r="AY65" s="4">
        <f ca="1">IFERROR((INDIRECT(ADDRESS(65,24)) - INDIRECT(ADDRESS(65,3)))/ INDIRECT(ADDRESS(65,3)),1)</f>
        <v>-0.59255875925353252</v>
      </c>
      <c r="AZ65" s="3">
        <f ca="1">INDIRECT(ADDRESS(65,29))</f>
        <v>2322649.4291360001</v>
      </c>
      <c r="BA65" s="4">
        <f ca="1">IFERROR(INDIRECT(ADDRESS(65,29)) / INDIRECT(ADDRESS(68,29)),0)</f>
        <v>0.22451327505228236</v>
      </c>
      <c r="BB65" s="4">
        <f ca="1">IFERROR((INDIRECT(ADDRESS(65,29)) - INDIRECT(ADDRESS(65,3)))/ INDIRECT(ADDRESS(65,3)),1)</f>
        <v>-0.59381091355746396</v>
      </c>
      <c r="BC65" s="3">
        <f ca="1">INDIRECT(ADDRESS(65,34))</f>
        <v>2321805.2425219999</v>
      </c>
      <c r="BD65" s="4">
        <f ca="1">IFERROR(INDIRECT(ADDRESS(65,34)) / INDIRECT(ADDRESS(68,34)),0)</f>
        <v>0.25133492642826744</v>
      </c>
      <c r="BE65" s="4">
        <f ca="1">IFERROR((INDIRECT(ADDRESS(65,34)) - INDIRECT(ADDRESS(65,3)))/ INDIRECT(ADDRESS(65,3)),1)</f>
        <v>-0.59395854642242696</v>
      </c>
    </row>
    <row r="66" spans="1:57" x14ac:dyDescent="0.25">
      <c r="A66" s="5"/>
      <c r="B66" s="1" t="s">
        <v>171</v>
      </c>
      <c r="C66">
        <v>18225.297460000002</v>
      </c>
      <c r="D66">
        <v>18201.720870000001</v>
      </c>
      <c r="E66">
        <v>18036.253887999999</v>
      </c>
      <c r="F66">
        <v>17897.303232999999</v>
      </c>
      <c r="G66">
        <v>17699.728952000001</v>
      </c>
      <c r="H66">
        <v>17501.769821000002</v>
      </c>
      <c r="I66">
        <v>15260.245981</v>
      </c>
      <c r="J66">
        <v>15005.021769000001</v>
      </c>
      <c r="K66">
        <v>14753.912753000001</v>
      </c>
      <c r="L66">
        <v>14506.234874</v>
      </c>
      <c r="M66">
        <v>14263.16366</v>
      </c>
      <c r="N66">
        <v>14039.632825000001</v>
      </c>
      <c r="O66">
        <v>13855.288377999999</v>
      </c>
      <c r="P66">
        <v>13669.282391999999</v>
      </c>
      <c r="Q66">
        <v>13482.296257</v>
      </c>
      <c r="R66">
        <v>13294.785008000001</v>
      </c>
      <c r="S66">
        <v>13108.841983</v>
      </c>
      <c r="T66">
        <v>12924.806205999999</v>
      </c>
      <c r="U66">
        <v>12741.228848000001</v>
      </c>
      <c r="V66">
        <v>12558.194149000001</v>
      </c>
      <c r="W66">
        <v>12546.485989000001</v>
      </c>
      <c r="X66">
        <v>12536.648660000001</v>
      </c>
      <c r="Y66">
        <v>12529.780784</v>
      </c>
      <c r="Z66">
        <v>12521.984619000001</v>
      </c>
      <c r="AA66">
        <v>12513.195868000001</v>
      </c>
      <c r="AB66">
        <v>12503.62191</v>
      </c>
      <c r="AC66">
        <v>12492.409043</v>
      </c>
      <c r="AD66">
        <v>12491.128522999999</v>
      </c>
      <c r="AE66">
        <v>12490.001888000001</v>
      </c>
      <c r="AF66">
        <v>12488.999148999999</v>
      </c>
      <c r="AG66">
        <v>12488.319882</v>
      </c>
      <c r="AH66">
        <v>12487.193053999999</v>
      </c>
      <c r="AK66" s="3" t="str">
        <f ca="1">INDIRECT(ADDRESS(66,2))</f>
        <v>Rail</v>
      </c>
      <c r="AL66" s="3">
        <f ca="1">INDIRECT(ADDRESS(66,3))</f>
        <v>18225.297460000002</v>
      </c>
      <c r="AM66" s="4">
        <f ca="1">IFERROR(INDIRECT(ADDRESS(66,3)) / INDIRECT(ADDRESS(68,3)),0)</f>
        <v>3.7653559642219749E-4</v>
      </c>
      <c r="AN66" s="3">
        <f ca="1">INDIRECT(ADDRESS(66,9))</f>
        <v>15260.245981</v>
      </c>
      <c r="AO66" s="4">
        <f ca="1">IFERROR(INDIRECT(ADDRESS(66,9)) / INDIRECT(ADDRESS(68,9)),0)</f>
        <v>4.1150375270961704E-4</v>
      </c>
      <c r="AP66" s="4">
        <f ca="1">IFERROR((INDIRECT(ADDRESS(66,9)) - INDIRECT(ADDRESS(66,3)))/ INDIRECT(ADDRESS(66,3)),1)</f>
        <v>-0.16268878384605534</v>
      </c>
      <c r="AQ66" s="3">
        <f ca="1">INDIRECT(ADDRESS(66,14))</f>
        <v>14039.632825000001</v>
      </c>
      <c r="AR66" s="4">
        <f ca="1">IFERROR(INDIRECT(ADDRESS(66,14)) / INDIRECT(ADDRESS(68,14)),0)</f>
        <v>5.5375844350049859E-4</v>
      </c>
      <c r="AS66" s="4">
        <f ca="1">IFERROR((INDIRECT(ADDRESS(66,14)) - INDIRECT(ADDRESS(66,3)))/ INDIRECT(ADDRESS(66,3)),1)</f>
        <v>-0.229662349500001</v>
      </c>
      <c r="AT66" s="3">
        <f ca="1">INDIRECT(ADDRESS(66,19))</f>
        <v>13108.841983</v>
      </c>
      <c r="AU66" s="4">
        <f ca="1">IFERROR(INDIRECT(ADDRESS(66,19)) / INDIRECT(ADDRESS(68,19)),0)</f>
        <v>7.7235472056405856E-4</v>
      </c>
      <c r="AV66" s="4">
        <f ca="1">IFERROR((INDIRECT(ADDRESS(66,19)) - INDIRECT(ADDRESS(66,3)))/ INDIRECT(ADDRESS(66,3)),1)</f>
        <v>-0.28073371577223083</v>
      </c>
      <c r="AW66" s="3">
        <f ca="1">INDIRECT(ADDRESS(66,24))</f>
        <v>12536.648660000001</v>
      </c>
      <c r="AX66" s="4">
        <f ca="1">IFERROR(INDIRECT(ADDRESS(66,24)) / INDIRECT(ADDRESS(68,24)),0)</f>
        <v>1.0052200013318587E-3</v>
      </c>
      <c r="AY66" s="4">
        <f ca="1">IFERROR((INDIRECT(ADDRESS(66,24)) - INDIRECT(ADDRESS(66,3)))/ INDIRECT(ADDRESS(66,3)),1)</f>
        <v>-0.31212927045416794</v>
      </c>
      <c r="AZ66" s="3">
        <f ca="1">INDIRECT(ADDRESS(66,29))</f>
        <v>12492.409043</v>
      </c>
      <c r="BA66" s="4">
        <f ca="1">IFERROR(INDIRECT(ADDRESS(66,29)) / INDIRECT(ADDRESS(68,29)),0)</f>
        <v>1.2075484282533331E-3</v>
      </c>
      <c r="BB66" s="4">
        <f ca="1">IFERROR((INDIRECT(ADDRESS(66,29)) - INDIRECT(ADDRESS(66,3)))/ INDIRECT(ADDRESS(66,3)),1)</f>
        <v>-0.3145566446628521</v>
      </c>
      <c r="BC66" s="3">
        <f ca="1">INDIRECT(ADDRESS(66,34))</f>
        <v>12487.193053999999</v>
      </c>
      <c r="BD66" s="4">
        <f ca="1">IFERROR(INDIRECT(ADDRESS(66,34)) / INDIRECT(ADDRESS(68,34)),0)</f>
        <v>1.3517360069846272E-3</v>
      </c>
      <c r="BE66" s="4">
        <f ca="1">IFERROR((INDIRECT(ADDRESS(66,34)) - INDIRECT(ADDRESS(66,3)))/ INDIRECT(ADDRESS(66,3)),1)</f>
        <v>-0.31484283966249194</v>
      </c>
    </row>
    <row r="67" spans="1:57" x14ac:dyDescent="0.25">
      <c r="A67" s="5"/>
      <c r="B67" s="1" t="s">
        <v>142</v>
      </c>
      <c r="C67">
        <v>284513.37434799998</v>
      </c>
      <c r="D67">
        <v>284514.11931500002</v>
      </c>
      <c r="E67">
        <v>281404.27164499997</v>
      </c>
      <c r="F67">
        <v>278304.377615</v>
      </c>
      <c r="G67">
        <v>275174.75832600001</v>
      </c>
      <c r="H67">
        <v>272044.18478399998</v>
      </c>
      <c r="I67">
        <v>267772.446956</v>
      </c>
      <c r="J67">
        <v>264609.34032199997</v>
      </c>
      <c r="K67">
        <v>261453.33808300001</v>
      </c>
      <c r="L67">
        <v>258297.67967000001</v>
      </c>
      <c r="M67">
        <v>255142.10786300001</v>
      </c>
      <c r="N67">
        <v>251996.195924</v>
      </c>
      <c r="O67">
        <v>248870.433831</v>
      </c>
      <c r="P67">
        <v>245743.615747</v>
      </c>
      <c r="Q67">
        <v>242614.30725400001</v>
      </c>
      <c r="R67">
        <v>239482.436587</v>
      </c>
      <c r="S67">
        <v>236358.75783399999</v>
      </c>
      <c r="T67">
        <v>233211.70519199999</v>
      </c>
      <c r="U67">
        <v>230062.84335099999</v>
      </c>
      <c r="V67">
        <v>226913.66753199999</v>
      </c>
      <c r="W67">
        <v>226892.94245999999</v>
      </c>
      <c r="X67">
        <v>226875.01508700001</v>
      </c>
      <c r="Y67">
        <v>226861.123292</v>
      </c>
      <c r="Z67">
        <v>226849.41560199999</v>
      </c>
      <c r="AA67">
        <v>226841.52417300001</v>
      </c>
      <c r="AB67">
        <v>226838.85156499999</v>
      </c>
      <c r="AC67">
        <v>226841.98947500001</v>
      </c>
      <c r="AD67">
        <v>226858.26392500001</v>
      </c>
      <c r="AE67">
        <v>226881.42761300001</v>
      </c>
      <c r="AF67">
        <v>226908.317618</v>
      </c>
      <c r="AG67">
        <v>226931.142116</v>
      </c>
      <c r="AH67">
        <v>226918.78617100001</v>
      </c>
      <c r="AK67" s="3" t="str">
        <f ca="1">INDIRECT(ADDRESS(67,2))</f>
        <v>Urban Bus</v>
      </c>
      <c r="AL67" s="3">
        <f ca="1">INDIRECT(ADDRESS(67,3))</f>
        <v>284513.37434799998</v>
      </c>
      <c r="AM67" s="4">
        <f ca="1">IFERROR(INDIRECT(ADDRESS(67,3)) / INDIRECT(ADDRESS(68,3)),0)</f>
        <v>5.878061158416676E-3</v>
      </c>
      <c r="AN67" s="3">
        <f ca="1">INDIRECT(ADDRESS(67,9))</f>
        <v>267772.446956</v>
      </c>
      <c r="AO67" s="4">
        <f ca="1">IFERROR(INDIRECT(ADDRESS(67,9)) / INDIRECT(ADDRESS(68,9)),0)</f>
        <v>7.2206809072293994E-3</v>
      </c>
      <c r="AP67" s="4">
        <f ca="1">IFERROR((INDIRECT(ADDRESS(67,9)) - INDIRECT(ADDRESS(67,3)))/ INDIRECT(ADDRESS(67,3)),1)</f>
        <v>-5.8840563929073747E-2</v>
      </c>
      <c r="AQ67" s="3">
        <f ca="1">INDIRECT(ADDRESS(67,14))</f>
        <v>251996.195924</v>
      </c>
      <c r="AR67" s="4">
        <f ca="1">IFERROR(INDIRECT(ADDRESS(67,14)) / INDIRECT(ADDRESS(68,14)),0)</f>
        <v>9.9393640106055208E-3</v>
      </c>
      <c r="AS67" s="4">
        <f ca="1">IFERROR((INDIRECT(ADDRESS(67,14)) - INDIRECT(ADDRESS(67,3)))/ INDIRECT(ADDRESS(67,3)),1)</f>
        <v>-0.11429050918438333</v>
      </c>
      <c r="AT67" s="3">
        <f ca="1">INDIRECT(ADDRESS(67,19))</f>
        <v>236358.75783399999</v>
      </c>
      <c r="AU67" s="4">
        <f ca="1">IFERROR(INDIRECT(ADDRESS(67,19)) / INDIRECT(ADDRESS(68,19)),0)</f>
        <v>1.3925928971947931E-2</v>
      </c>
      <c r="AV67" s="4">
        <f ca="1">IFERROR((INDIRECT(ADDRESS(67,19)) - INDIRECT(ADDRESS(67,3)))/ INDIRECT(ADDRESS(67,3)),1)</f>
        <v>-0.16925255842314149</v>
      </c>
      <c r="AW67" s="3">
        <f ca="1">INDIRECT(ADDRESS(67,24))</f>
        <v>226875.01508700001</v>
      </c>
      <c r="AX67" s="4">
        <f ca="1">IFERROR(INDIRECT(ADDRESS(67,24)) / INDIRECT(ADDRESS(68,24)),0)</f>
        <v>1.8191408976433704E-2</v>
      </c>
      <c r="AY67" s="4">
        <f ca="1">IFERROR((INDIRECT(ADDRESS(67,24)) - INDIRECT(ADDRESS(67,3)))/ INDIRECT(ADDRESS(67,3)),1)</f>
        <v>-0.202585763825992</v>
      </c>
      <c r="AZ67" s="3">
        <f ca="1">INDIRECT(ADDRESS(67,29))</f>
        <v>226841.98947500001</v>
      </c>
      <c r="BA67" s="4">
        <f ca="1">IFERROR(INDIRECT(ADDRESS(67,29)) / INDIRECT(ADDRESS(68,29)),0)</f>
        <v>2.1927130860791441E-2</v>
      </c>
      <c r="BB67" s="4">
        <f ca="1">IFERROR((INDIRECT(ADDRESS(67,29)) - INDIRECT(ADDRESS(67,3)))/ INDIRECT(ADDRESS(67,3)),1)</f>
        <v>-0.20270184136391331</v>
      </c>
      <c r="BC67" s="3">
        <f ca="1">INDIRECT(ADDRESS(67,34))</f>
        <v>226918.78617100001</v>
      </c>
      <c r="BD67" s="4">
        <f ca="1">IFERROR(INDIRECT(ADDRESS(67,34)) / INDIRECT(ADDRESS(68,34)),0)</f>
        <v>2.4563910608423754E-2</v>
      </c>
      <c r="BE67" s="4">
        <f ca="1">IFERROR((INDIRECT(ADDRESS(67,34)) - INDIRECT(ADDRESS(67,3)))/ INDIRECT(ADDRESS(67,3)),1)</f>
        <v>-0.20243191839042921</v>
      </c>
    </row>
    <row r="68" spans="1:57" x14ac:dyDescent="0.25">
      <c r="A68" s="1" t="s">
        <v>21</v>
      </c>
      <c r="B68" s="1"/>
      <c r="C68">
        <v>48402588.316150993</v>
      </c>
      <c r="D68">
        <v>47684410.857943997</v>
      </c>
      <c r="E68">
        <v>45972431.488372996</v>
      </c>
      <c r="F68">
        <v>44082285.326485001</v>
      </c>
      <c r="G68">
        <v>42281648.087261997</v>
      </c>
      <c r="H68">
        <v>40111146.361135997</v>
      </c>
      <c r="I68">
        <v>37084099.186255999</v>
      </c>
      <c r="J68">
        <v>34722361.488109007</v>
      </c>
      <c r="K68">
        <v>32289870.412544001</v>
      </c>
      <c r="L68">
        <v>29840785.32256899</v>
      </c>
      <c r="M68">
        <v>27478900.398892</v>
      </c>
      <c r="N68">
        <v>25353352.151618</v>
      </c>
      <c r="O68">
        <v>23463790.821299002</v>
      </c>
      <c r="P68">
        <v>21755936.280131001</v>
      </c>
      <c r="Q68">
        <v>20154289.829914998</v>
      </c>
      <c r="R68">
        <v>18467654.514591999</v>
      </c>
      <c r="S68">
        <v>16972566.663963001</v>
      </c>
      <c r="T68">
        <v>15933322.982652999</v>
      </c>
      <c r="U68">
        <v>14903105.914407</v>
      </c>
      <c r="V68">
        <v>13915582.707257001</v>
      </c>
      <c r="W68">
        <v>13165066.799035</v>
      </c>
      <c r="X68">
        <v>12471547.167176999</v>
      </c>
      <c r="Y68">
        <v>11961256.588096</v>
      </c>
      <c r="Z68">
        <v>11486877.182390001</v>
      </c>
      <c r="AA68">
        <v>11058878.623224</v>
      </c>
      <c r="AB68">
        <v>10679715.827176999</v>
      </c>
      <c r="AC68">
        <v>10345265.457443999</v>
      </c>
      <c r="AD68">
        <v>10060855.389257001</v>
      </c>
      <c r="AE68">
        <v>9814277.1537309978</v>
      </c>
      <c r="AF68">
        <v>9599738.9332669992</v>
      </c>
      <c r="AG68">
        <v>9410447.1295940001</v>
      </c>
      <c r="AH68">
        <v>9237893.3382530008</v>
      </c>
    </row>
    <row r="69" spans="1:57" x14ac:dyDescent="0.25">
      <c r="A69" s="5" t="s">
        <v>3</v>
      </c>
      <c r="B69" s="1" t="s">
        <v>169</v>
      </c>
      <c r="C69">
        <v>7872484.352</v>
      </c>
      <c r="D69">
        <v>7872484.352</v>
      </c>
      <c r="E69">
        <v>7785012.07424</v>
      </c>
      <c r="F69">
        <v>7697540.2657160005</v>
      </c>
      <c r="G69">
        <v>7610068.4571930002</v>
      </c>
      <c r="H69">
        <v>7522596.1794330003</v>
      </c>
      <c r="I69">
        <v>7435123.9016730003</v>
      </c>
      <c r="J69">
        <v>7347652.0931489998</v>
      </c>
      <c r="K69">
        <v>7260180.2846259996</v>
      </c>
      <c r="L69">
        <v>7172708.0068650004</v>
      </c>
      <c r="M69">
        <v>7085235.7291050004</v>
      </c>
      <c r="N69">
        <v>6997763.9205820002</v>
      </c>
      <c r="O69">
        <v>6910292.1120579997</v>
      </c>
      <c r="P69">
        <v>6822819.8342979997</v>
      </c>
      <c r="Q69">
        <v>6735347.5565379998</v>
      </c>
      <c r="R69">
        <v>6647875.7480149996</v>
      </c>
      <c r="S69">
        <v>6560403.939491</v>
      </c>
      <c r="T69">
        <v>6472931.6617310001</v>
      </c>
      <c r="U69">
        <v>6385459.3839710001</v>
      </c>
      <c r="V69">
        <v>6297987.5754469996</v>
      </c>
      <c r="W69">
        <v>6297987.5754469996</v>
      </c>
      <c r="X69">
        <v>6297987.5754469996</v>
      </c>
      <c r="Y69">
        <v>6297987.5754469996</v>
      </c>
      <c r="Z69">
        <v>6297987.5754469996</v>
      </c>
      <c r="AA69">
        <v>6297987.5754469996</v>
      </c>
      <c r="AB69">
        <v>6297987.5754469996</v>
      </c>
      <c r="AC69">
        <v>6297987.5754469996</v>
      </c>
      <c r="AD69">
        <v>6297987.5754469996</v>
      </c>
      <c r="AE69">
        <v>6297987.5754469996</v>
      </c>
      <c r="AF69">
        <v>6297987.5754469996</v>
      </c>
      <c r="AG69">
        <v>6297987.5754469996</v>
      </c>
      <c r="AH69">
        <v>6297987.5754469996</v>
      </c>
      <c r="AK69" s="3" t="str">
        <f ca="1">INDIRECT(ADDRESS(69,2))</f>
        <v>Aviation</v>
      </c>
      <c r="AL69" s="3">
        <f ca="1">INDIRECT(ADDRESS(69,3))</f>
        <v>7872484.352</v>
      </c>
      <c r="AM69" s="4">
        <f ca="1">IFERROR(INDIRECT(ADDRESS(69,3)) / INDIRECT(ADDRESS(76,3)),0)</f>
        <v>0.16264593745647082</v>
      </c>
      <c r="AN69" s="3">
        <f ca="1">INDIRECT(ADDRESS(69,9))</f>
        <v>7435123.9016730003</v>
      </c>
      <c r="AO69" s="4">
        <f ca="1">IFERROR(INDIRECT(ADDRESS(69,9)) / INDIRECT(ADDRESS(76,9)),0)</f>
        <v>0.19651231488518037</v>
      </c>
      <c r="AP69" s="4">
        <f ca="1">IFERROR((INDIRECT(ADDRESS(69,9)) - INDIRECT(ADDRESS(69,3)))/ INDIRECT(ADDRESS(69,3)),1)</f>
        <v>-5.5555582046458878E-2</v>
      </c>
      <c r="AQ69" s="3">
        <f ca="1">INDIRECT(ADDRESS(69,14))</f>
        <v>6997763.9205820002</v>
      </c>
      <c r="AR69" s="4">
        <f ca="1">IFERROR(INDIRECT(ADDRESS(69,14)) / INDIRECT(ADDRESS(76,14)),0)</f>
        <v>0.27137364869604014</v>
      </c>
      <c r="AS69" s="4">
        <f ca="1">IFERROR((INDIRECT(ADDRESS(69,14)) - INDIRECT(ADDRESS(69,3)))/ INDIRECT(ADDRESS(69,3)),1)</f>
        <v>-0.11111110448835348</v>
      </c>
      <c r="AT69" s="3">
        <f ca="1">INDIRECT(ADDRESS(69,19))</f>
        <v>6560403.939491</v>
      </c>
      <c r="AU69" s="4">
        <f ca="1">IFERROR(INDIRECT(ADDRESS(69,19)) / INDIRECT(ADDRESS(76,19)),0)</f>
        <v>0.32950155856728958</v>
      </c>
      <c r="AV69" s="4">
        <f ca="1">IFERROR((INDIRECT(ADDRESS(69,19)) - INDIRECT(ADDRESS(69,3)))/ INDIRECT(ADDRESS(69,3)),1)</f>
        <v>-0.16666662693024809</v>
      </c>
      <c r="AW69" s="3">
        <f ca="1">INDIRECT(ADDRESS(69,24))</f>
        <v>6297987.5754469996</v>
      </c>
      <c r="AX69" s="4">
        <f ca="1">IFERROR(INDIRECT(ADDRESS(69,24)) / INDIRECT(ADDRESS(76,24)),0)</f>
        <v>0.39757269744734097</v>
      </c>
      <c r="AY69" s="4">
        <f ca="1">IFERROR((INDIRECT(ADDRESS(69,24)) - INDIRECT(ADDRESS(69,3)))/ INDIRECT(ADDRESS(69,3)),1)</f>
        <v>-0.19999998807911257</v>
      </c>
      <c r="AZ69" s="3">
        <f ca="1">INDIRECT(ADDRESS(69,29))</f>
        <v>6297987.5754469996</v>
      </c>
      <c r="BA69" s="4">
        <f ca="1">IFERROR(INDIRECT(ADDRESS(69,29)) / INDIRECT(ADDRESS(76,29)),0)</f>
        <v>0.48298811984887274</v>
      </c>
      <c r="BB69" s="4">
        <f ca="1">IFERROR((INDIRECT(ADDRESS(69,29)) - INDIRECT(ADDRESS(69,3)))/ INDIRECT(ADDRESS(69,3)),1)</f>
        <v>-0.19999998807911257</v>
      </c>
      <c r="BC69" s="3">
        <f ca="1">INDIRECT(ADDRESS(69,34))</f>
        <v>6297987.5754469996</v>
      </c>
      <c r="BD69" s="4">
        <f ca="1">IFERROR(INDIRECT(ADDRESS(69,34)) / INDIRECT(ADDRESS(76,34)),0)</f>
        <v>0.54591785098087631</v>
      </c>
      <c r="BE69" s="4">
        <f ca="1">IFERROR((INDIRECT(ADDRESS(69,34)) - INDIRECT(ADDRESS(69,3)))/ INDIRECT(ADDRESS(69,3)),1)</f>
        <v>-0.19999998807911257</v>
      </c>
    </row>
    <row r="70" spans="1:57" x14ac:dyDescent="0.25">
      <c r="A70" s="5"/>
      <c r="B70" s="1" t="s">
        <v>139</v>
      </c>
      <c r="C70">
        <v>8422611.7638140004</v>
      </c>
      <c r="D70">
        <v>8778297.6664550006</v>
      </c>
      <c r="E70">
        <v>8638133.7754900008</v>
      </c>
      <c r="F70">
        <v>8499950.6893739998</v>
      </c>
      <c r="G70">
        <v>7970703.8362710001</v>
      </c>
      <c r="H70">
        <v>7354214.7697780002</v>
      </c>
      <c r="I70">
        <v>6254618.0532670002</v>
      </c>
      <c r="J70">
        <v>5560525.142577</v>
      </c>
      <c r="K70">
        <v>4820158.9246610003</v>
      </c>
      <c r="L70">
        <v>4099976.232233</v>
      </c>
      <c r="M70">
        <v>3439395.1528810002</v>
      </c>
      <c r="N70">
        <v>2888538.5287990002</v>
      </c>
      <c r="O70">
        <v>2559065.9530710001</v>
      </c>
      <c r="P70">
        <v>2290480.775618</v>
      </c>
      <c r="Q70">
        <v>2050019.4598139999</v>
      </c>
      <c r="R70">
        <v>1773302.58999</v>
      </c>
      <c r="S70">
        <v>1559411.306327</v>
      </c>
      <c r="T70">
        <v>1337724.7708759999</v>
      </c>
      <c r="U70">
        <v>1119276.9525210001</v>
      </c>
      <c r="V70">
        <v>917706.95317300002</v>
      </c>
      <c r="W70">
        <v>750082.612677</v>
      </c>
      <c r="X70">
        <v>605304.60397099995</v>
      </c>
      <c r="Y70">
        <v>458293.80571799999</v>
      </c>
      <c r="Z70">
        <v>338007.17349700001</v>
      </c>
      <c r="AA70">
        <v>244261.832604</v>
      </c>
      <c r="AB70">
        <v>174029.094059</v>
      </c>
      <c r="AC70">
        <v>122706.496178</v>
      </c>
      <c r="AD70">
        <v>94057.876189000002</v>
      </c>
      <c r="AE70">
        <v>76995.941395999995</v>
      </c>
      <c r="AF70">
        <v>67964.599772999994</v>
      </c>
      <c r="AG70">
        <v>63998.565297000001</v>
      </c>
      <c r="AH70">
        <v>62504.883042000001</v>
      </c>
      <c r="AK70" s="3" t="str">
        <f ca="1">INDIRECT(ADDRESS(70,2))</f>
        <v>Car</v>
      </c>
      <c r="AL70" s="3">
        <f ca="1">INDIRECT(ADDRESS(70,3))</f>
        <v>8422611.7638140004</v>
      </c>
      <c r="AM70" s="4">
        <f ca="1">IFERROR(INDIRECT(ADDRESS(70,3)) / INDIRECT(ADDRESS(76,3)),0)</f>
        <v>0.1740115984872557</v>
      </c>
      <c r="AN70" s="3">
        <f ca="1">INDIRECT(ADDRESS(70,9))</f>
        <v>6254618.0532670002</v>
      </c>
      <c r="AO70" s="4">
        <f ca="1">IFERROR(INDIRECT(ADDRESS(70,9)) / INDIRECT(ADDRESS(76,9)),0)</f>
        <v>0.16531122932511896</v>
      </c>
      <c r="AP70" s="4">
        <f ca="1">IFERROR((INDIRECT(ADDRESS(70,9)) - INDIRECT(ADDRESS(70,3)))/ INDIRECT(ADDRESS(70,3)),1)</f>
        <v>-0.25740159600628087</v>
      </c>
      <c r="AQ70" s="3">
        <f ca="1">INDIRECT(ADDRESS(70,14))</f>
        <v>2888538.5287990002</v>
      </c>
      <c r="AR70" s="4">
        <f ca="1">IFERROR(INDIRECT(ADDRESS(70,14)) / INDIRECT(ADDRESS(76,14)),0)</f>
        <v>0.11201767433933126</v>
      </c>
      <c r="AS70" s="4">
        <f ca="1">IFERROR((INDIRECT(ADDRESS(70,14)) - INDIRECT(ADDRESS(70,3)))/ INDIRECT(ADDRESS(70,3)),1)</f>
        <v>-0.65704954593668852</v>
      </c>
      <c r="AT70" s="3">
        <f ca="1">INDIRECT(ADDRESS(70,19))</f>
        <v>1559411.306327</v>
      </c>
      <c r="AU70" s="4">
        <f ca="1">IFERROR(INDIRECT(ADDRESS(70,19)) / INDIRECT(ADDRESS(76,19)),0)</f>
        <v>7.8322685709817111E-2</v>
      </c>
      <c r="AV70" s="4">
        <f ca="1">IFERROR((INDIRECT(ADDRESS(70,19)) - INDIRECT(ADDRESS(70,3)))/ INDIRECT(ADDRESS(70,3)),1)</f>
        <v>-0.81485418655687225</v>
      </c>
      <c r="AW70" s="3">
        <f ca="1">INDIRECT(ADDRESS(70,24))</f>
        <v>605304.60397099995</v>
      </c>
      <c r="AX70" s="4">
        <f ca="1">IFERROR(INDIRECT(ADDRESS(70,24)) / INDIRECT(ADDRESS(76,24)),0)</f>
        <v>3.8211028728643466E-2</v>
      </c>
      <c r="AY70" s="4">
        <f ca="1">IFERROR((INDIRECT(ADDRESS(70,24)) - INDIRECT(ADDRESS(70,3)))/ INDIRECT(ADDRESS(70,3)),1)</f>
        <v>-0.92813338416338209</v>
      </c>
      <c r="AZ70" s="3">
        <f ca="1">INDIRECT(ADDRESS(70,29))</f>
        <v>122706.496178</v>
      </c>
      <c r="BA70" s="4">
        <f ca="1">IFERROR(INDIRECT(ADDRESS(70,29)) / INDIRECT(ADDRESS(76,29)),0)</f>
        <v>9.4102725945833139E-3</v>
      </c>
      <c r="BB70" s="4">
        <f ca="1">IFERROR((INDIRECT(ADDRESS(70,29)) - INDIRECT(ADDRESS(70,3)))/ INDIRECT(ADDRESS(70,3)),1)</f>
        <v>-0.98543130092910336</v>
      </c>
      <c r="BC70" s="3">
        <f ca="1">INDIRECT(ADDRESS(70,34))</f>
        <v>62504.883042000001</v>
      </c>
      <c r="BD70" s="4">
        <f ca="1">IFERROR(INDIRECT(ADDRESS(70,34)) / INDIRECT(ADDRESS(76,34)),0)</f>
        <v>5.4180055164173326E-3</v>
      </c>
      <c r="BE70" s="4">
        <f ca="1">IFERROR((INDIRECT(ADDRESS(70,34)) - INDIRECT(ADDRESS(70,3)))/ INDIRECT(ADDRESS(70,3)),1)</f>
        <v>-0.99257891912927299</v>
      </c>
    </row>
    <row r="71" spans="1:57" x14ac:dyDescent="0.25">
      <c r="A71" s="5"/>
      <c r="B71" s="1" t="s">
        <v>140</v>
      </c>
      <c r="C71">
        <v>18055216.234627001</v>
      </c>
      <c r="D71">
        <v>16497852.564130999</v>
      </c>
      <c r="E71">
        <v>15884210.94637</v>
      </c>
      <c r="F71">
        <v>15286439.330793001</v>
      </c>
      <c r="G71">
        <v>14078552.28554</v>
      </c>
      <c r="H71">
        <v>12934690.842062</v>
      </c>
      <c r="I71">
        <v>11777524.394323001</v>
      </c>
      <c r="J71">
        <v>10708857.481269</v>
      </c>
      <c r="K71">
        <v>9707749.050028</v>
      </c>
      <c r="L71">
        <v>8785752.7576129995</v>
      </c>
      <c r="M71">
        <v>7935455.3434220003</v>
      </c>
      <c r="N71">
        <v>7153043.0675100004</v>
      </c>
      <c r="O71">
        <v>6662484.0629599998</v>
      </c>
      <c r="P71">
        <v>6208002.1107839998</v>
      </c>
      <c r="Q71">
        <v>5784338.0037040003</v>
      </c>
      <c r="R71">
        <v>5387528.7578609996</v>
      </c>
      <c r="S71">
        <v>5013755.7793770004</v>
      </c>
      <c r="T71">
        <v>4660797.2644060003</v>
      </c>
      <c r="U71">
        <v>4326992.9791329997</v>
      </c>
      <c r="V71">
        <v>4010740.438546</v>
      </c>
      <c r="W71">
        <v>3762108.989544</v>
      </c>
      <c r="X71">
        <v>3521933.6446619998</v>
      </c>
      <c r="Y71">
        <v>3155633.558855</v>
      </c>
      <c r="Z71">
        <v>2803586.9946730002</v>
      </c>
      <c r="AA71">
        <v>2465338.6887650001</v>
      </c>
      <c r="AB71">
        <v>2140612.428138</v>
      </c>
      <c r="AC71">
        <v>1829044.920647</v>
      </c>
      <c r="AD71">
        <v>1537172.6563899999</v>
      </c>
      <c r="AE71">
        <v>1258950.1349559999</v>
      </c>
      <c r="AF71">
        <v>994518.35334599996</v>
      </c>
      <c r="AG71">
        <v>744123.683876</v>
      </c>
      <c r="AH71">
        <v>507765.29715300002</v>
      </c>
      <c r="AK71" s="3" t="str">
        <f ca="1">INDIRECT(ADDRESS(71,2))</f>
        <v>Heavy Truck</v>
      </c>
      <c r="AL71" s="3">
        <f ca="1">INDIRECT(ADDRESS(71,3))</f>
        <v>18055216.234627001</v>
      </c>
      <c r="AM71" s="4">
        <f ca="1">IFERROR(INDIRECT(ADDRESS(71,3)) / INDIRECT(ADDRESS(76,3)),0)</f>
        <v>0.37302170943206214</v>
      </c>
      <c r="AN71" s="3">
        <f ca="1">INDIRECT(ADDRESS(71,9))</f>
        <v>11777524.394323001</v>
      </c>
      <c r="AO71" s="4">
        <f ca="1">IFERROR(INDIRECT(ADDRESS(71,9)) / INDIRECT(ADDRESS(76,9)),0)</f>
        <v>0.31128312223879928</v>
      </c>
      <c r="AP71" s="4">
        <f ca="1">IFERROR((INDIRECT(ADDRESS(71,9)) - INDIRECT(ADDRESS(71,3)))/ INDIRECT(ADDRESS(71,3)),1)</f>
        <v>-0.34769408234859006</v>
      </c>
      <c r="AQ71" s="3">
        <f ca="1">INDIRECT(ADDRESS(71,14))</f>
        <v>7153043.0675100004</v>
      </c>
      <c r="AR71" s="4">
        <f ca="1">IFERROR(INDIRECT(ADDRESS(71,14)) / INDIRECT(ADDRESS(76,14)),0)</f>
        <v>0.27739538208780556</v>
      </c>
      <c r="AS71" s="4">
        <f ca="1">IFERROR((INDIRECT(ADDRESS(71,14)) - INDIRECT(ADDRESS(71,3)))/ INDIRECT(ADDRESS(71,3)),1)</f>
        <v>-0.60382401547805253</v>
      </c>
      <c r="AT71" s="3">
        <f ca="1">INDIRECT(ADDRESS(71,19))</f>
        <v>5013755.7793770004</v>
      </c>
      <c r="AU71" s="4">
        <f ca="1">IFERROR(INDIRECT(ADDRESS(71,19)) / INDIRECT(ADDRESS(76,19)),0)</f>
        <v>0.25181991213008353</v>
      </c>
      <c r="AV71" s="4">
        <f ca="1">IFERROR((INDIRECT(ADDRESS(71,19)) - INDIRECT(ADDRESS(71,3)))/ INDIRECT(ADDRESS(71,3)),1)</f>
        <v>-0.72230984585155933</v>
      </c>
      <c r="AW71" s="3">
        <f ca="1">INDIRECT(ADDRESS(71,24))</f>
        <v>3521933.6446619998</v>
      </c>
      <c r="AX71" s="4">
        <f ca="1">IFERROR(INDIRECT(ADDRESS(71,24)) / INDIRECT(ADDRESS(76,24)),0)</f>
        <v>0.2223289015046104</v>
      </c>
      <c r="AY71" s="4">
        <f ca="1">IFERROR((INDIRECT(ADDRESS(71,24)) - INDIRECT(ADDRESS(71,3)))/ INDIRECT(ADDRESS(71,3)),1)</f>
        <v>-0.8049353938000755</v>
      </c>
      <c r="AZ71" s="3">
        <f ca="1">INDIRECT(ADDRESS(71,29))</f>
        <v>1829044.920647</v>
      </c>
      <c r="BA71" s="4">
        <f ca="1">IFERROR(INDIRECT(ADDRESS(71,29)) / INDIRECT(ADDRESS(76,29)),0)</f>
        <v>0.14026813434602964</v>
      </c>
      <c r="BB71" s="4">
        <f ca="1">IFERROR((INDIRECT(ADDRESS(71,29)) - INDIRECT(ADDRESS(71,3)))/ INDIRECT(ADDRESS(71,3)),1)</f>
        <v>-0.89869714674814116</v>
      </c>
      <c r="BC71" s="3">
        <f ca="1">INDIRECT(ADDRESS(71,34))</f>
        <v>507765.29715300002</v>
      </c>
      <c r="BD71" s="4">
        <f ca="1">IFERROR(INDIRECT(ADDRESS(71,34)) / INDIRECT(ADDRESS(76,34)),0)</f>
        <v>4.4013764159380346E-2</v>
      </c>
      <c r="BE71" s="4">
        <f ca="1">IFERROR((INDIRECT(ADDRESS(71,34)) - INDIRECT(ADDRESS(71,3)))/ INDIRECT(ADDRESS(71,3)),1)</f>
        <v>-0.9718770857931246</v>
      </c>
    </row>
    <row r="72" spans="1:57" x14ac:dyDescent="0.25">
      <c r="A72" s="5"/>
      <c r="B72" s="1" t="s">
        <v>141</v>
      </c>
      <c r="C72">
        <v>8031389.0061720004</v>
      </c>
      <c r="D72">
        <v>8503576.2057140004</v>
      </c>
      <c r="E72">
        <v>8631637.5165999997</v>
      </c>
      <c r="F72">
        <v>8515779.0461459998</v>
      </c>
      <c r="G72">
        <v>8134724.8379560001</v>
      </c>
      <c r="H72">
        <v>7545096.2750159996</v>
      </c>
      <c r="I72">
        <v>6718720.4935879996</v>
      </c>
      <c r="J72">
        <v>6080707.3000999996</v>
      </c>
      <c r="K72">
        <v>5419518.259513</v>
      </c>
      <c r="L72">
        <v>4721737.2550349999</v>
      </c>
      <c r="M72">
        <v>4051837.5797700002</v>
      </c>
      <c r="N72">
        <v>3483760.9676589998</v>
      </c>
      <c r="O72">
        <v>3095351.9391419999</v>
      </c>
      <c r="P72">
        <v>2766352.2543000001</v>
      </c>
      <c r="Q72">
        <v>2472269.2118790001</v>
      </c>
      <c r="R72">
        <v>2134434.7327549998</v>
      </c>
      <c r="S72">
        <v>1868597.4290430001</v>
      </c>
      <c r="T72">
        <v>1597475.8754179999</v>
      </c>
      <c r="U72">
        <v>1337158.2768999999</v>
      </c>
      <c r="V72">
        <v>1098747.658639</v>
      </c>
      <c r="W72">
        <v>900928.62791399995</v>
      </c>
      <c r="X72">
        <v>729777.18935599993</v>
      </c>
      <c r="Y72">
        <v>554967.31190299999</v>
      </c>
      <c r="Z72">
        <v>410967.21255599998</v>
      </c>
      <c r="AA72">
        <v>297838.12711599999</v>
      </c>
      <c r="AB72">
        <v>212512.39763699999</v>
      </c>
      <c r="AC72">
        <v>149798.86972300001</v>
      </c>
      <c r="AD72">
        <v>114229.961811</v>
      </c>
      <c r="AE72">
        <v>92779.753580000004</v>
      </c>
      <c r="AF72">
        <v>81238.250495</v>
      </c>
      <c r="AG72">
        <v>76043.688880999995</v>
      </c>
      <c r="AH72">
        <v>74022.698285999999</v>
      </c>
      <c r="AK72" s="3" t="str">
        <f ca="1">INDIRECT(ADDRESS(72,2))</f>
        <v>Light Truck</v>
      </c>
      <c r="AL72" s="3">
        <f ca="1">INDIRECT(ADDRESS(72,3))</f>
        <v>8031389.0061720004</v>
      </c>
      <c r="AM72" s="4">
        <f ca="1">IFERROR(INDIRECT(ADDRESS(72,3)) / INDIRECT(ADDRESS(76,3)),0)</f>
        <v>0.16592891590245978</v>
      </c>
      <c r="AN72" s="3">
        <f ca="1">INDIRECT(ADDRESS(72,9))</f>
        <v>6718720.4935879996</v>
      </c>
      <c r="AO72" s="4">
        <f ca="1">IFERROR(INDIRECT(ADDRESS(72,9)) / INDIRECT(ADDRESS(76,9)),0)</f>
        <v>0.1775775810493746</v>
      </c>
      <c r="AP72" s="4">
        <f ca="1">IFERROR((INDIRECT(ADDRESS(72,9)) - INDIRECT(ADDRESS(72,3)))/ INDIRECT(ADDRESS(72,3)),1)</f>
        <v>-0.16344227773990713</v>
      </c>
      <c r="AQ72" s="3">
        <f ca="1">INDIRECT(ADDRESS(72,14))</f>
        <v>3483760.9676589998</v>
      </c>
      <c r="AR72" s="4">
        <f ca="1">IFERROR(INDIRECT(ADDRESS(72,14)) / INDIRECT(ADDRESS(76,14)),0)</f>
        <v>0.13510043146751965</v>
      </c>
      <c r="AS72" s="4">
        <f ca="1">IFERROR((INDIRECT(ADDRESS(72,14)) - INDIRECT(ADDRESS(72,3)))/ INDIRECT(ADDRESS(72,3)),1)</f>
        <v>-0.5662318230405996</v>
      </c>
      <c r="AT72" s="3">
        <f ca="1">INDIRECT(ADDRESS(72,19))</f>
        <v>1868597.4290430001</v>
      </c>
      <c r="AU72" s="4">
        <f ca="1">IFERROR(INDIRECT(ADDRESS(72,19)) / INDIRECT(ADDRESS(76,19)),0)</f>
        <v>9.3851807127027218E-2</v>
      </c>
      <c r="AV72" s="4">
        <f ca="1">IFERROR((INDIRECT(ADDRESS(72,19)) - INDIRECT(ADDRESS(72,3)))/ INDIRECT(ADDRESS(72,3)),1)</f>
        <v>-0.7673381992072591</v>
      </c>
      <c r="AW72" s="3">
        <f ca="1">INDIRECT(ADDRESS(72,24))</f>
        <v>729777.18935599993</v>
      </c>
      <c r="AX72" s="4">
        <f ca="1">IFERROR(INDIRECT(ADDRESS(72,24)) / INDIRECT(ADDRESS(76,24)),0)</f>
        <v>4.6068602427690751E-2</v>
      </c>
      <c r="AY72" s="4">
        <f ca="1">IFERROR((INDIRECT(ADDRESS(72,24)) - INDIRECT(ADDRESS(72,3)))/ INDIRECT(ADDRESS(72,3)),1)</f>
        <v>-0.90913437404225128</v>
      </c>
      <c r="AZ72" s="3">
        <f ca="1">INDIRECT(ADDRESS(72,29))</f>
        <v>149798.86972300001</v>
      </c>
      <c r="BA72" s="4">
        <f ca="1">IFERROR(INDIRECT(ADDRESS(72,29)) / INDIRECT(ADDRESS(76,29)),0)</f>
        <v>1.1487967160345324E-2</v>
      </c>
      <c r="BB72" s="4">
        <f ca="1">IFERROR((INDIRECT(ADDRESS(72,29)) - INDIRECT(ADDRESS(72,3)))/ INDIRECT(ADDRESS(72,3)),1)</f>
        <v>-0.98134832348328771</v>
      </c>
      <c r="BC72" s="3">
        <f ca="1">INDIRECT(ADDRESS(72,34))</f>
        <v>74022.698285999999</v>
      </c>
      <c r="BD72" s="4">
        <f ca="1">IFERROR(INDIRECT(ADDRESS(72,34)) / INDIRECT(ADDRESS(76,34)),0)</f>
        <v>6.4163848988271141E-3</v>
      </c>
      <c r="BE72" s="4">
        <f ca="1">IFERROR((INDIRECT(ADDRESS(72,34)) - INDIRECT(ADDRESS(72,3)))/ INDIRECT(ADDRESS(72,3)),1)</f>
        <v>-0.99078332549586201</v>
      </c>
    </row>
    <row r="73" spans="1:57" x14ac:dyDescent="0.25">
      <c r="A73" s="5"/>
      <c r="B73" s="1" t="s">
        <v>170</v>
      </c>
      <c r="C73">
        <v>5718148.28773</v>
      </c>
      <c r="D73">
        <v>5718148.28773</v>
      </c>
      <c r="E73">
        <v>5654613.1401279997</v>
      </c>
      <c r="F73">
        <v>5591078.333354</v>
      </c>
      <c r="G73">
        <v>5527543.5265809996</v>
      </c>
      <c r="H73">
        <v>5464008.3789790003</v>
      </c>
      <c r="I73">
        <v>5400473.231377</v>
      </c>
      <c r="J73">
        <v>5336938.4246030003</v>
      </c>
      <c r="K73">
        <v>5273403.6178299999</v>
      </c>
      <c r="L73">
        <v>5209868.4702279996</v>
      </c>
      <c r="M73">
        <v>5146333.3226260003</v>
      </c>
      <c r="N73">
        <v>5082798.5158519996</v>
      </c>
      <c r="O73">
        <v>5019263.7090779999</v>
      </c>
      <c r="P73">
        <v>4955728.5614759997</v>
      </c>
      <c r="Q73">
        <v>4892193.4138749996</v>
      </c>
      <c r="R73">
        <v>4828658.6071009999</v>
      </c>
      <c r="S73">
        <v>4765123.8003270002</v>
      </c>
      <c r="T73">
        <v>4701588.6527249999</v>
      </c>
      <c r="U73">
        <v>4638053.5051229997</v>
      </c>
      <c r="V73">
        <v>4574518.6983500002</v>
      </c>
      <c r="W73">
        <v>4574518.6983500002</v>
      </c>
      <c r="X73">
        <v>4574518.6983500002</v>
      </c>
      <c r="Y73">
        <v>4574518.6983500002</v>
      </c>
      <c r="Z73">
        <v>4574518.6983500002</v>
      </c>
      <c r="AA73">
        <v>4574518.6983500002</v>
      </c>
      <c r="AB73">
        <v>4574518.6983500002</v>
      </c>
      <c r="AC73">
        <v>4574518.6983500002</v>
      </c>
      <c r="AD73">
        <v>4574518.6983500002</v>
      </c>
      <c r="AE73">
        <v>4574518.6983500002</v>
      </c>
      <c r="AF73">
        <v>4574518.6983500002</v>
      </c>
      <c r="AG73">
        <v>4574518.6983500002</v>
      </c>
      <c r="AH73">
        <v>4574518.6983500002</v>
      </c>
      <c r="AK73" s="3" t="str">
        <f ca="1">INDIRECT(ADDRESS(73,2))</f>
        <v>Marine</v>
      </c>
      <c r="AL73" s="3">
        <f ca="1">INDIRECT(ADDRESS(73,3))</f>
        <v>5718148.28773</v>
      </c>
      <c r="AM73" s="4">
        <f ca="1">IFERROR(INDIRECT(ADDRESS(73,3)) / INDIRECT(ADDRESS(76,3)),0)</f>
        <v>0.11813724196691287</v>
      </c>
      <c r="AN73" s="3">
        <f ca="1">INDIRECT(ADDRESS(73,9))</f>
        <v>5400473.231377</v>
      </c>
      <c r="AO73" s="4">
        <f ca="1">IFERROR(INDIRECT(ADDRESS(73,9)) / INDIRECT(ADDRESS(76,9)),0)</f>
        <v>0.14273595305312226</v>
      </c>
      <c r="AP73" s="4">
        <f ca="1">IFERROR((INDIRECT(ADDRESS(73,9)) - INDIRECT(ADDRESS(73,3)))/ INDIRECT(ADDRESS(73,3)),1)</f>
        <v>-5.555558204649344E-2</v>
      </c>
      <c r="AQ73" s="3">
        <f ca="1">INDIRECT(ADDRESS(73,14))</f>
        <v>5082798.5158519996</v>
      </c>
      <c r="AR73" s="4">
        <f ca="1">IFERROR(INDIRECT(ADDRESS(73,14)) / INDIRECT(ADDRESS(76,14)),0)</f>
        <v>0.19711119073003194</v>
      </c>
      <c r="AS73" s="4">
        <f ca="1">IFERROR((INDIRECT(ADDRESS(73,14)) - INDIRECT(ADDRESS(73,3)))/ INDIRECT(ADDRESS(73,3)),1)</f>
        <v>-0.1111111044883767</v>
      </c>
      <c r="AT73" s="3">
        <f ca="1">INDIRECT(ADDRESS(73,19))</f>
        <v>4765123.8003270002</v>
      </c>
      <c r="AU73" s="4">
        <f ca="1">IFERROR(INDIRECT(ADDRESS(73,19)) / INDIRECT(ADDRESS(76,19)),0)</f>
        <v>0.23933217122841566</v>
      </c>
      <c r="AV73" s="4">
        <f ca="1">IFERROR((INDIRECT(ADDRESS(73,19)) - INDIRECT(ADDRESS(73,3)))/ INDIRECT(ADDRESS(73,3)),1)</f>
        <v>-0.1666666269302598</v>
      </c>
      <c r="AW73" s="3">
        <f ca="1">INDIRECT(ADDRESS(73,24))</f>
        <v>4574518.6983500002</v>
      </c>
      <c r="AX73" s="4">
        <f ca="1">IFERROR(INDIRECT(ADDRESS(73,24)) / INDIRECT(ADDRESS(76,24)),0)</f>
        <v>0.28877537731522535</v>
      </c>
      <c r="AY73" s="4">
        <f ca="1">IFERROR((INDIRECT(ADDRESS(73,24)) - INDIRECT(ADDRESS(73,3)))/ INDIRECT(ADDRESS(73,3)),1)</f>
        <v>-0.19999998807900796</v>
      </c>
      <c r="AZ73" s="3">
        <f ca="1">INDIRECT(ADDRESS(73,29))</f>
        <v>4574518.6983500002</v>
      </c>
      <c r="BA73" s="4">
        <f ca="1">IFERROR(INDIRECT(ADDRESS(73,29)) / INDIRECT(ADDRESS(76,29)),0)</f>
        <v>0.35081653605402108</v>
      </c>
      <c r="BB73" s="4">
        <f ca="1">IFERROR((INDIRECT(ADDRESS(73,29)) - INDIRECT(ADDRESS(73,3)))/ INDIRECT(ADDRESS(73,3)),1)</f>
        <v>-0.19999998807900796</v>
      </c>
      <c r="BC73" s="3">
        <f ca="1">INDIRECT(ADDRESS(73,34))</f>
        <v>4574518.6983500002</v>
      </c>
      <c r="BD73" s="4">
        <f ca="1">IFERROR(INDIRECT(ADDRESS(73,34)) / INDIRECT(ADDRESS(76,34)),0)</f>
        <v>0.39652530068667552</v>
      </c>
      <c r="BE73" s="4">
        <f ca="1">IFERROR((INDIRECT(ADDRESS(73,34)) - INDIRECT(ADDRESS(73,3)))/ INDIRECT(ADDRESS(73,3)),1)</f>
        <v>-0.19999998807900796</v>
      </c>
    </row>
    <row r="74" spans="1:57" x14ac:dyDescent="0.25">
      <c r="A74" s="5"/>
      <c r="B74" s="1" t="s">
        <v>171</v>
      </c>
      <c r="C74">
        <v>18225.297460000002</v>
      </c>
      <c r="D74">
        <v>18204.132846</v>
      </c>
      <c r="E74">
        <v>18039.620961000001</v>
      </c>
      <c r="F74">
        <v>17871.570812999998</v>
      </c>
      <c r="G74">
        <v>17592.274362</v>
      </c>
      <c r="H74">
        <v>17302.412897999999</v>
      </c>
      <c r="I74">
        <v>15256.605054</v>
      </c>
      <c r="J74">
        <v>15017.244557</v>
      </c>
      <c r="K74">
        <v>14781.492335000001</v>
      </c>
      <c r="L74">
        <v>14545.969791</v>
      </c>
      <c r="M74">
        <v>14307.115137999999</v>
      </c>
      <c r="N74">
        <v>14080.675337999999</v>
      </c>
      <c r="O74">
        <v>13280.687386</v>
      </c>
      <c r="P74">
        <v>12495.068475</v>
      </c>
      <c r="Q74">
        <v>11724.069686000001</v>
      </c>
      <c r="R74">
        <v>10967.812030999999</v>
      </c>
      <c r="S74">
        <v>10226.725444</v>
      </c>
      <c r="T74">
        <v>9499.7900580000005</v>
      </c>
      <c r="U74">
        <v>8787.4049400000004</v>
      </c>
      <c r="V74">
        <v>8089.4093069999999</v>
      </c>
      <c r="W74">
        <v>7505.6351290000002</v>
      </c>
      <c r="X74">
        <v>6921.0691749999996</v>
      </c>
      <c r="Y74">
        <v>6335.4450409999999</v>
      </c>
      <c r="Z74">
        <v>5749.0567170000004</v>
      </c>
      <c r="AA74">
        <v>5162.1073430000006</v>
      </c>
      <c r="AB74">
        <v>4574.9652539999997</v>
      </c>
      <c r="AC74">
        <v>3986.916127</v>
      </c>
      <c r="AD74">
        <v>3421.9830590000001</v>
      </c>
      <c r="AE74">
        <v>2857.1822440000001</v>
      </c>
      <c r="AF74">
        <v>2292.4827879999998</v>
      </c>
      <c r="AG74">
        <v>1728.082872</v>
      </c>
      <c r="AH74">
        <v>1163.2848260000001</v>
      </c>
      <c r="AK74" s="3" t="str">
        <f ca="1">INDIRECT(ADDRESS(74,2))</f>
        <v>Rail</v>
      </c>
      <c r="AL74" s="3">
        <f ca="1">INDIRECT(ADDRESS(74,3))</f>
        <v>18225.297460000002</v>
      </c>
      <c r="AM74" s="4">
        <f ca="1">IFERROR(INDIRECT(ADDRESS(74,3)) / INDIRECT(ADDRESS(76,3)),0)</f>
        <v>3.7653559642219749E-4</v>
      </c>
      <c r="AN74" s="3">
        <f ca="1">INDIRECT(ADDRESS(74,9))</f>
        <v>15256.605054</v>
      </c>
      <c r="AO74" s="4">
        <f ca="1">IFERROR(INDIRECT(ADDRESS(74,9)) / INDIRECT(ADDRESS(76,9)),0)</f>
        <v>4.0323615532161718E-4</v>
      </c>
      <c r="AP74" s="4">
        <f ca="1">IFERROR((INDIRECT(ADDRESS(74,9)) - INDIRECT(ADDRESS(74,3)))/ INDIRECT(ADDRESS(74,3)),1)</f>
        <v>-0.16288855710122394</v>
      </c>
      <c r="AQ74" s="3">
        <f ca="1">INDIRECT(ADDRESS(74,14))</f>
        <v>14080.675337999999</v>
      </c>
      <c r="AR74" s="4">
        <f ca="1">IFERROR(INDIRECT(ADDRESS(74,14)) / INDIRECT(ADDRESS(76,14)),0)</f>
        <v>5.4604932174671115E-4</v>
      </c>
      <c r="AS74" s="4">
        <f ca="1">IFERROR((INDIRECT(ADDRESS(74,14)) - INDIRECT(ADDRESS(74,3)))/ INDIRECT(ADDRESS(74,3)),1)</f>
        <v>-0.22741039651596459</v>
      </c>
      <c r="AT74" s="3">
        <f ca="1">INDIRECT(ADDRESS(74,19))</f>
        <v>10226.725444</v>
      </c>
      <c r="AU74" s="4">
        <f ca="1">IFERROR(INDIRECT(ADDRESS(74,19)) / INDIRECT(ADDRESS(76,19)),0)</f>
        <v>5.1364550169744614E-4</v>
      </c>
      <c r="AV74" s="4">
        <f ca="1">IFERROR((INDIRECT(ADDRESS(74,19)) - INDIRECT(ADDRESS(74,3)))/ INDIRECT(ADDRESS(74,3)),1)</f>
        <v>-0.43887195989831607</v>
      </c>
      <c r="AW74" s="3">
        <f ca="1">INDIRECT(ADDRESS(74,24))</f>
        <v>6921.0691749999996</v>
      </c>
      <c r="AX74" s="4">
        <f ca="1">IFERROR(INDIRECT(ADDRESS(74,24)) / INDIRECT(ADDRESS(76,24)),0)</f>
        <v>4.3690593354800259E-4</v>
      </c>
      <c r="AY74" s="4">
        <f ca="1">IFERROR((INDIRECT(ADDRESS(74,24)) - INDIRECT(ADDRESS(74,3)))/ INDIRECT(ADDRESS(74,3)),1)</f>
        <v>-0.62024931608441358</v>
      </c>
      <c r="AZ74" s="3">
        <f ca="1">INDIRECT(ADDRESS(74,29))</f>
        <v>3986.916127</v>
      </c>
      <c r="BA74" s="4">
        <f ca="1">IFERROR(INDIRECT(ADDRESS(74,29)) / INDIRECT(ADDRESS(76,29)),0)</f>
        <v>3.0575371912165255E-4</v>
      </c>
      <c r="BB74" s="4">
        <f ca="1">IFERROR((INDIRECT(ADDRESS(74,29)) - INDIRECT(ADDRESS(74,3)))/ INDIRECT(ADDRESS(74,3)),1)</f>
        <v>-0.78124274044084652</v>
      </c>
      <c r="BC74" s="3">
        <f ca="1">INDIRECT(ADDRESS(74,34))</f>
        <v>1163.2848260000001</v>
      </c>
      <c r="BD74" s="4">
        <f ca="1">IFERROR(INDIRECT(ADDRESS(74,34)) / INDIRECT(ADDRESS(76,34)),0)</f>
        <v>1.0083505956162663E-4</v>
      </c>
      <c r="BE74" s="4">
        <f ca="1">IFERROR((INDIRECT(ADDRESS(74,34)) - INDIRECT(ADDRESS(74,3)))/ INDIRECT(ADDRESS(74,3)),1)</f>
        <v>-0.93617197038604605</v>
      </c>
    </row>
    <row r="75" spans="1:57" x14ac:dyDescent="0.25">
      <c r="A75" s="5"/>
      <c r="B75" s="1" t="s">
        <v>142</v>
      </c>
      <c r="C75">
        <v>284513.37434799998</v>
      </c>
      <c r="D75">
        <v>284515.48557399999</v>
      </c>
      <c r="E75">
        <v>281406.41099499998</v>
      </c>
      <c r="F75">
        <v>278289.83292199997</v>
      </c>
      <c r="G75">
        <v>263489.465944</v>
      </c>
      <c r="H75">
        <v>248948.396806</v>
      </c>
      <c r="I75">
        <v>233692.801377</v>
      </c>
      <c r="J75">
        <v>219711.67969200001</v>
      </c>
      <c r="K75">
        <v>206002.34601499999</v>
      </c>
      <c r="L75">
        <v>192558.16649599999</v>
      </c>
      <c r="M75">
        <v>179376.781303</v>
      </c>
      <c r="N75">
        <v>166467.63026999999</v>
      </c>
      <c r="O75">
        <v>159439.16974000001</v>
      </c>
      <c r="P75">
        <v>152534.52648299999</v>
      </c>
      <c r="Q75">
        <v>145753.097282</v>
      </c>
      <c r="R75">
        <v>139096.487788</v>
      </c>
      <c r="S75">
        <v>132565.71888100001</v>
      </c>
      <c r="T75">
        <v>126160.09806</v>
      </c>
      <c r="U75">
        <v>119880.1882</v>
      </c>
      <c r="V75">
        <v>113726.08846899999</v>
      </c>
      <c r="W75">
        <v>109189.845898</v>
      </c>
      <c r="X75">
        <v>104653.994255</v>
      </c>
      <c r="Y75">
        <v>96042.340062999996</v>
      </c>
      <c r="Z75">
        <v>87430.614556999994</v>
      </c>
      <c r="AA75">
        <v>78818.230356</v>
      </c>
      <c r="AB75">
        <v>70204.669301999995</v>
      </c>
      <c r="AC75">
        <v>61589.004380000013</v>
      </c>
      <c r="AD75">
        <v>52984.478172000003</v>
      </c>
      <c r="AE75">
        <v>44377.927698</v>
      </c>
      <c r="AF75">
        <v>35769.534778000001</v>
      </c>
      <c r="AG75">
        <v>27159.864591000001</v>
      </c>
      <c r="AH75">
        <v>18549.080391</v>
      </c>
      <c r="AK75" s="3" t="str">
        <f ca="1">INDIRECT(ADDRESS(75,2))</f>
        <v>Urban Bus</v>
      </c>
      <c r="AL75" s="3">
        <f ca="1">INDIRECT(ADDRESS(75,3))</f>
        <v>284513.37434799998</v>
      </c>
      <c r="AM75" s="4">
        <f ca="1">IFERROR(INDIRECT(ADDRESS(75,3)) / INDIRECT(ADDRESS(76,3)),0)</f>
        <v>5.878061158416676E-3</v>
      </c>
      <c r="AN75" s="3">
        <f ca="1">INDIRECT(ADDRESS(75,9))</f>
        <v>233692.801377</v>
      </c>
      <c r="AO75" s="4">
        <f ca="1">IFERROR(INDIRECT(ADDRESS(75,9)) / INDIRECT(ADDRESS(76,9)),0)</f>
        <v>6.1765632930829229E-3</v>
      </c>
      <c r="AP75" s="4">
        <f ca="1">IFERROR((INDIRECT(ADDRESS(75,9)) - INDIRECT(ADDRESS(75,3)))/ INDIRECT(ADDRESS(75,3)),1)</f>
        <v>-0.17862279088799271</v>
      </c>
      <c r="AQ75" s="3">
        <f ca="1">INDIRECT(ADDRESS(75,14))</f>
        <v>166467.63026999999</v>
      </c>
      <c r="AR75" s="4">
        <f ca="1">IFERROR(INDIRECT(ADDRESS(75,14)) / INDIRECT(ADDRESS(76,14)),0)</f>
        <v>6.4556233575247708E-3</v>
      </c>
      <c r="AS75" s="4">
        <f ca="1">IFERROR((INDIRECT(ADDRESS(75,14)) - INDIRECT(ADDRESS(75,3)))/ INDIRECT(ADDRESS(75,3)),1)</f>
        <v>-0.41490402462983478</v>
      </c>
      <c r="AT75" s="3">
        <f ca="1">INDIRECT(ADDRESS(75,19))</f>
        <v>132565.71888100001</v>
      </c>
      <c r="AU75" s="4">
        <f ca="1">IFERROR(INDIRECT(ADDRESS(75,19)) / INDIRECT(ADDRESS(76,19)),0)</f>
        <v>6.6582197356694637E-3</v>
      </c>
      <c r="AV75" s="4">
        <f ca="1">IFERROR((INDIRECT(ADDRESS(75,19)) - INDIRECT(ADDRESS(75,3)))/ INDIRECT(ADDRESS(75,3)),1)</f>
        <v>-0.53406155621052298</v>
      </c>
      <c r="AW75" s="3">
        <f ca="1">INDIRECT(ADDRESS(75,24))</f>
        <v>104653.994255</v>
      </c>
      <c r="AX75" s="4">
        <f ca="1">IFERROR(INDIRECT(ADDRESS(75,24)) / INDIRECT(ADDRESS(76,24)),0)</f>
        <v>6.6064866429409843E-3</v>
      </c>
      <c r="AY75" s="4">
        <f ca="1">IFERROR((INDIRECT(ADDRESS(75,24)) - INDIRECT(ADDRESS(75,3)))/ INDIRECT(ADDRESS(75,3)),1)</f>
        <v>-0.63216493953991282</v>
      </c>
      <c r="AZ75" s="3">
        <f ca="1">INDIRECT(ADDRESS(75,29))</f>
        <v>61589.004380000013</v>
      </c>
      <c r="BA75" s="4">
        <f ca="1">IFERROR(INDIRECT(ADDRESS(75,29)) / INDIRECT(ADDRESS(76,29)),0)</f>
        <v>4.7232162770262246E-3</v>
      </c>
      <c r="BB75" s="4">
        <f ca="1">IFERROR((INDIRECT(ADDRESS(75,29)) - INDIRECT(ADDRESS(75,3)))/ INDIRECT(ADDRESS(75,3)),1)</f>
        <v>-0.78352861435375631</v>
      </c>
      <c r="BC75" s="3">
        <f ca="1">INDIRECT(ADDRESS(75,34))</f>
        <v>18549.080391</v>
      </c>
      <c r="BD75" s="4">
        <f ca="1">IFERROR(INDIRECT(ADDRESS(75,34)) / INDIRECT(ADDRESS(76,34)),0)</f>
        <v>1.6078586982616462E-3</v>
      </c>
      <c r="BE75" s="4">
        <f ca="1">IFERROR((INDIRECT(ADDRESS(75,34)) - INDIRECT(ADDRESS(75,3)))/ INDIRECT(ADDRESS(75,3)),1)</f>
        <v>-0.93480418826177258</v>
      </c>
    </row>
    <row r="76" spans="1:57" x14ac:dyDescent="0.25">
      <c r="A76" s="1" t="s">
        <v>21</v>
      </c>
      <c r="B76" s="1"/>
      <c r="C76">
        <v>48402588.316150993</v>
      </c>
      <c r="D76">
        <v>47673078.694449998</v>
      </c>
      <c r="E76">
        <v>46893053.484784</v>
      </c>
      <c r="F76">
        <v>45886949.069117993</v>
      </c>
      <c r="G76">
        <v>43602674.683847003</v>
      </c>
      <c r="H76">
        <v>41086857.254972003</v>
      </c>
      <c r="I76">
        <v>37835409.480659001</v>
      </c>
      <c r="J76">
        <v>35269409.365947001</v>
      </c>
      <c r="K76">
        <v>32701793.975008</v>
      </c>
      <c r="L76">
        <v>30197146.858261</v>
      </c>
      <c r="M76">
        <v>27851941.024245001</v>
      </c>
      <c r="N76">
        <v>25786453.30601</v>
      </c>
      <c r="O76">
        <v>24419177.633435</v>
      </c>
      <c r="P76">
        <v>23208413.131434001</v>
      </c>
      <c r="Q76">
        <v>22091644.812778</v>
      </c>
      <c r="R76">
        <v>20921864.735541001</v>
      </c>
      <c r="S76">
        <v>19910084.698890001</v>
      </c>
      <c r="T76">
        <v>18906178.113274001</v>
      </c>
      <c r="U76">
        <v>17935608.690788001</v>
      </c>
      <c r="V76">
        <v>17021516.821931001</v>
      </c>
      <c r="W76">
        <v>16402321.984959001</v>
      </c>
      <c r="X76">
        <v>15841096.775216</v>
      </c>
      <c r="Y76">
        <v>15143778.735377001</v>
      </c>
      <c r="Z76">
        <v>14518247.325797001</v>
      </c>
      <c r="AA76">
        <v>13963925.259981001</v>
      </c>
      <c r="AB76">
        <v>13474439.828187</v>
      </c>
      <c r="AC76">
        <v>13039632.480852</v>
      </c>
      <c r="AD76">
        <v>12674373.229418</v>
      </c>
      <c r="AE76">
        <v>12348467.213671001</v>
      </c>
      <c r="AF76">
        <v>12054289.494976999</v>
      </c>
      <c r="AG76">
        <v>11785560.159313999</v>
      </c>
      <c r="AH76">
        <v>11536511.517495001</v>
      </c>
    </row>
    <row r="77" spans="1:57" x14ac:dyDescent="0.25">
      <c r="A77" s="5" t="s">
        <v>4</v>
      </c>
      <c r="B77" s="1" t="s">
        <v>169</v>
      </c>
      <c r="C77">
        <v>7872484.352</v>
      </c>
      <c r="D77">
        <v>7872484.352</v>
      </c>
      <c r="E77">
        <v>7872484.352</v>
      </c>
      <c r="F77">
        <v>7872484.352</v>
      </c>
      <c r="G77">
        <v>7872484.352</v>
      </c>
      <c r="H77">
        <v>7872484.352</v>
      </c>
      <c r="I77">
        <v>7872484.352</v>
      </c>
      <c r="J77">
        <v>7872484.352</v>
      </c>
      <c r="K77">
        <v>7872484.352</v>
      </c>
      <c r="L77">
        <v>7872484.352</v>
      </c>
      <c r="M77">
        <v>7872484.352</v>
      </c>
      <c r="N77">
        <v>7872484.352</v>
      </c>
      <c r="O77">
        <v>7872484.352</v>
      </c>
      <c r="P77">
        <v>7872484.352</v>
      </c>
      <c r="Q77">
        <v>7872484.352</v>
      </c>
      <c r="R77">
        <v>7872484.352</v>
      </c>
      <c r="S77">
        <v>7872484.352</v>
      </c>
      <c r="T77">
        <v>7872484.352</v>
      </c>
      <c r="U77">
        <v>7872484.352</v>
      </c>
      <c r="V77">
        <v>7872484.352</v>
      </c>
      <c r="W77">
        <v>7872484.352</v>
      </c>
      <c r="X77">
        <v>7872484.352</v>
      </c>
      <c r="Y77">
        <v>7872484.352</v>
      </c>
      <c r="Z77">
        <v>7872484.352</v>
      </c>
      <c r="AA77">
        <v>7872484.352</v>
      </c>
      <c r="AB77">
        <v>7872484.352</v>
      </c>
      <c r="AC77">
        <v>7872484.352</v>
      </c>
      <c r="AD77">
        <v>7872484.352</v>
      </c>
      <c r="AE77">
        <v>7872484.352</v>
      </c>
      <c r="AF77">
        <v>7872484.352</v>
      </c>
      <c r="AG77">
        <v>7872484.352</v>
      </c>
      <c r="AH77">
        <v>7872484.352</v>
      </c>
      <c r="AK77" s="3" t="str">
        <f ca="1">INDIRECT(ADDRESS(77,2))</f>
        <v>Aviation</v>
      </c>
      <c r="AL77" s="3">
        <f ca="1">INDIRECT(ADDRESS(77,3))</f>
        <v>7872484.352</v>
      </c>
      <c r="AM77" s="4">
        <f ca="1">IFERROR(INDIRECT(ADDRESS(77,3)) / INDIRECT(ADDRESS(84,3)),0)</f>
        <v>0.16264593745647082</v>
      </c>
      <c r="AN77" s="3">
        <f ca="1">INDIRECT(ADDRESS(77,9))</f>
        <v>7872484.352</v>
      </c>
      <c r="AO77" s="4">
        <f ca="1">IFERROR(INDIRECT(ADDRESS(77,9)) / INDIRECT(ADDRESS(84,9)),0)</f>
        <v>0.17177059107987303</v>
      </c>
      <c r="AP77" s="4">
        <f ca="1">IFERROR((INDIRECT(ADDRESS(77,9)) - INDIRECT(ADDRESS(77,3)))/ INDIRECT(ADDRESS(77,3)),1)</f>
        <v>0</v>
      </c>
      <c r="AQ77" s="3">
        <f ca="1">INDIRECT(ADDRESS(77,14))</f>
        <v>7872484.352</v>
      </c>
      <c r="AR77" s="4">
        <f ca="1">IFERROR(INDIRECT(ADDRESS(77,14)) / INDIRECT(ADDRESS(84,14)),0)</f>
        <v>0.18462740200704508</v>
      </c>
      <c r="AS77" s="4">
        <f ca="1">IFERROR((INDIRECT(ADDRESS(77,14)) - INDIRECT(ADDRESS(77,3)))/ INDIRECT(ADDRESS(77,3)),1)</f>
        <v>0</v>
      </c>
      <c r="AT77" s="3">
        <f ca="1">INDIRECT(ADDRESS(77,19))</f>
        <v>7872484.352</v>
      </c>
      <c r="AU77" s="4">
        <f ca="1">IFERROR(INDIRECT(ADDRESS(77,19)) / INDIRECT(ADDRESS(84,19)),0)</f>
        <v>0.18606257193010731</v>
      </c>
      <c r="AV77" s="4">
        <f ca="1">IFERROR((INDIRECT(ADDRESS(77,19)) - INDIRECT(ADDRESS(77,3)))/ INDIRECT(ADDRESS(77,3)),1)</f>
        <v>0</v>
      </c>
      <c r="AW77" s="3">
        <f ca="1">INDIRECT(ADDRESS(77,24))</f>
        <v>7872484.352</v>
      </c>
      <c r="AX77" s="4">
        <f ca="1">IFERROR(INDIRECT(ADDRESS(77,24)) / INDIRECT(ADDRESS(84,24)),0)</f>
        <v>0.18520048649129867</v>
      </c>
      <c r="AY77" s="4">
        <f ca="1">IFERROR((INDIRECT(ADDRESS(77,24)) - INDIRECT(ADDRESS(77,3)))/ INDIRECT(ADDRESS(77,3)),1)</f>
        <v>0</v>
      </c>
      <c r="AZ77" s="3">
        <f ca="1">INDIRECT(ADDRESS(77,29))</f>
        <v>7872484.352</v>
      </c>
      <c r="BA77" s="4">
        <f ca="1">IFERROR(INDIRECT(ADDRESS(77,29)) / INDIRECT(ADDRESS(84,29)),0)</f>
        <v>0.18387934143443993</v>
      </c>
      <c r="BB77" s="4">
        <f ca="1">IFERROR((INDIRECT(ADDRESS(77,29)) - INDIRECT(ADDRESS(77,3)))/ INDIRECT(ADDRESS(77,3)),1)</f>
        <v>0</v>
      </c>
      <c r="BC77" s="3">
        <f ca="1">INDIRECT(ADDRESS(77,34))</f>
        <v>7872484.352</v>
      </c>
      <c r="BD77" s="4">
        <f ca="1">IFERROR(INDIRECT(ADDRESS(77,34)) / INDIRECT(ADDRESS(84,34)),0)</f>
        <v>0.18114298276846594</v>
      </c>
      <c r="BE77" s="4">
        <f ca="1">IFERROR((INDIRECT(ADDRESS(77,34)) - INDIRECT(ADDRESS(77,3)))/ INDIRECT(ADDRESS(77,3)),1)</f>
        <v>0</v>
      </c>
    </row>
    <row r="78" spans="1:57" x14ac:dyDescent="0.25">
      <c r="A78" s="5"/>
      <c r="B78" s="1" t="s">
        <v>139</v>
      </c>
      <c r="C78">
        <v>8422611.7638140004</v>
      </c>
      <c r="D78">
        <v>8778773.6982010007</v>
      </c>
      <c r="E78">
        <v>8736737.7303599995</v>
      </c>
      <c r="F78">
        <v>8699129.3188300002</v>
      </c>
      <c r="G78">
        <v>8630338.3221129999</v>
      </c>
      <c r="H78">
        <v>8503260.182852</v>
      </c>
      <c r="I78">
        <v>7805226.5847450001</v>
      </c>
      <c r="J78">
        <v>7524366.4576679999</v>
      </c>
      <c r="K78">
        <v>7183970.5866569998</v>
      </c>
      <c r="L78">
        <v>6857599.7327129999</v>
      </c>
      <c r="M78">
        <v>6573116.9403229998</v>
      </c>
      <c r="N78">
        <v>6396954.418606</v>
      </c>
      <c r="O78">
        <v>6346901.3934889995</v>
      </c>
      <c r="P78">
        <v>6363780.6324519999</v>
      </c>
      <c r="Q78">
        <v>6402990.027245</v>
      </c>
      <c r="R78">
        <v>6383585.8294799998</v>
      </c>
      <c r="S78">
        <v>6437068.0164700001</v>
      </c>
      <c r="T78">
        <v>6464030.9773260001</v>
      </c>
      <c r="U78">
        <v>6476502.8870820003</v>
      </c>
      <c r="V78">
        <v>6486492.61864</v>
      </c>
      <c r="W78">
        <v>6504377.6115039997</v>
      </c>
      <c r="X78">
        <v>6532189.375643</v>
      </c>
      <c r="Y78">
        <v>6551244.256914</v>
      </c>
      <c r="Z78">
        <v>6563706.0094569996</v>
      </c>
      <c r="AA78">
        <v>6572151.7008750001</v>
      </c>
      <c r="AB78">
        <v>6582129.319898</v>
      </c>
      <c r="AC78">
        <v>6597813.6749489997</v>
      </c>
      <c r="AD78">
        <v>6619207.286607</v>
      </c>
      <c r="AE78">
        <v>6651198.8326369999</v>
      </c>
      <c r="AF78">
        <v>6694972.2515120003</v>
      </c>
      <c r="AG78">
        <v>6749548.576626</v>
      </c>
      <c r="AH78">
        <v>6809417.2411580002</v>
      </c>
      <c r="AK78" s="3" t="str">
        <f ca="1">INDIRECT(ADDRESS(78,2))</f>
        <v>Car</v>
      </c>
      <c r="AL78" s="3">
        <f ca="1">INDIRECT(ADDRESS(78,3))</f>
        <v>8422611.7638140004</v>
      </c>
      <c r="AM78" s="4">
        <f ca="1">IFERROR(INDIRECT(ADDRESS(78,3)) / INDIRECT(ADDRESS(84,3)),0)</f>
        <v>0.1740115984872557</v>
      </c>
      <c r="AN78" s="3">
        <f ca="1">INDIRECT(ADDRESS(78,9))</f>
        <v>7805226.5847450001</v>
      </c>
      <c r="AO78" s="4">
        <f ca="1">IFERROR(INDIRECT(ADDRESS(78,9)) / INDIRECT(ADDRESS(84,9)),0)</f>
        <v>0.17030308655150023</v>
      </c>
      <c r="AP78" s="4">
        <f ca="1">IFERROR((INDIRECT(ADDRESS(78,9)) - INDIRECT(ADDRESS(78,3)))/ INDIRECT(ADDRESS(78,3)),1)</f>
        <v>-7.3300918572724361E-2</v>
      </c>
      <c r="AQ78" s="3">
        <f ca="1">INDIRECT(ADDRESS(78,14))</f>
        <v>6396954.418606</v>
      </c>
      <c r="AR78" s="4">
        <f ca="1">IFERROR(INDIRECT(ADDRESS(78,14)) / INDIRECT(ADDRESS(84,14)),0)</f>
        <v>0.15002291808489496</v>
      </c>
      <c r="AS78" s="4">
        <f ca="1">IFERROR((INDIRECT(ADDRESS(78,14)) - INDIRECT(ADDRESS(78,3)))/ INDIRECT(ADDRESS(78,3)),1)</f>
        <v>-0.24050228147886571</v>
      </c>
      <c r="AT78" s="3">
        <f ca="1">INDIRECT(ADDRESS(78,19))</f>
        <v>6437068.0164700001</v>
      </c>
      <c r="AU78" s="4">
        <f ca="1">IFERROR(INDIRECT(ADDRESS(78,19)) / INDIRECT(ADDRESS(84,19)),0)</f>
        <v>0.15213716246119541</v>
      </c>
      <c r="AV78" s="4">
        <f ca="1">IFERROR((INDIRECT(ADDRESS(78,19)) - INDIRECT(ADDRESS(78,3)))/ INDIRECT(ADDRESS(78,3)),1)</f>
        <v>-0.23573967351486816</v>
      </c>
      <c r="AW78" s="3">
        <f ca="1">INDIRECT(ADDRESS(78,24))</f>
        <v>6532189.375643</v>
      </c>
      <c r="AX78" s="4">
        <f ca="1">IFERROR(INDIRECT(ADDRESS(78,24)) / INDIRECT(ADDRESS(84,24)),0)</f>
        <v>0.15366999744052029</v>
      </c>
      <c r="AY78" s="4">
        <f ca="1">IFERROR((INDIRECT(ADDRESS(78,24)) - INDIRECT(ADDRESS(78,3)))/ INDIRECT(ADDRESS(78,3)),1)</f>
        <v>-0.22444610308322735</v>
      </c>
      <c r="AZ78" s="3">
        <f ca="1">INDIRECT(ADDRESS(78,29))</f>
        <v>6597813.6749489997</v>
      </c>
      <c r="BA78" s="4">
        <f ca="1">IFERROR(INDIRECT(ADDRESS(78,29)) / INDIRECT(ADDRESS(84,29)),0)</f>
        <v>0.15410657922089752</v>
      </c>
      <c r="BB78" s="4">
        <f ca="1">IFERROR((INDIRECT(ADDRESS(78,29)) - INDIRECT(ADDRESS(78,3)))/ INDIRECT(ADDRESS(78,3)),1)</f>
        <v>-0.21665466010256654</v>
      </c>
      <c r="BC78" s="3">
        <f ca="1">INDIRECT(ADDRESS(78,34))</f>
        <v>6809417.2411580002</v>
      </c>
      <c r="BD78" s="4">
        <f ca="1">IFERROR(INDIRECT(ADDRESS(78,34)) / INDIRECT(ADDRESS(84,34)),0)</f>
        <v>0.15668219774422468</v>
      </c>
      <c r="BE78" s="4">
        <f ca="1">IFERROR((INDIRECT(ADDRESS(78,34)) - INDIRECT(ADDRESS(78,3)))/ INDIRECT(ADDRESS(78,3)),1)</f>
        <v>-0.19153138811250389</v>
      </c>
    </row>
    <row r="79" spans="1:57" x14ac:dyDescent="0.25">
      <c r="A79" s="5"/>
      <c r="B79" s="1" t="s">
        <v>140</v>
      </c>
      <c r="C79">
        <v>18055216.234627001</v>
      </c>
      <c r="D79">
        <v>16650777.022087</v>
      </c>
      <c r="E79">
        <v>16470332.006263001</v>
      </c>
      <c r="F79">
        <v>16289048.907244001</v>
      </c>
      <c r="G79">
        <v>16105521.828725999</v>
      </c>
      <c r="H79">
        <v>15921437.271731</v>
      </c>
      <c r="I79">
        <v>15752192.977568001</v>
      </c>
      <c r="J79">
        <v>15520261.139407</v>
      </c>
      <c r="K79">
        <v>15293502.878323</v>
      </c>
      <c r="L79">
        <v>15097813.459256999</v>
      </c>
      <c r="M79">
        <v>14933145.967815001</v>
      </c>
      <c r="N79">
        <v>14802295.707105</v>
      </c>
      <c r="O79">
        <v>14691722.445109</v>
      </c>
      <c r="P79">
        <v>14610054.331537999</v>
      </c>
      <c r="Q79">
        <v>14551920.589063</v>
      </c>
      <c r="R79">
        <v>14512746.135918999</v>
      </c>
      <c r="S79">
        <v>14488217.821497001</v>
      </c>
      <c r="T79">
        <v>14475862.677149</v>
      </c>
      <c r="U79">
        <v>14474328.529792</v>
      </c>
      <c r="V79">
        <v>14482183.84138</v>
      </c>
      <c r="W79">
        <v>14498031.148010001</v>
      </c>
      <c r="X79">
        <v>14520644.876801001</v>
      </c>
      <c r="Y79">
        <v>14541049.663315</v>
      </c>
      <c r="Z79">
        <v>14565802.943361999</v>
      </c>
      <c r="AA79">
        <v>14593961.278096</v>
      </c>
      <c r="AB79">
        <v>14624513.966226</v>
      </c>
      <c r="AC79">
        <v>14656582.300649</v>
      </c>
      <c r="AD79">
        <v>14694871.778936001</v>
      </c>
      <c r="AE79">
        <v>14733570.334649</v>
      </c>
      <c r="AF79">
        <v>14772439.258785</v>
      </c>
      <c r="AG79">
        <v>14811381.355799999</v>
      </c>
      <c r="AH79">
        <v>14850382.499908</v>
      </c>
      <c r="AK79" s="3" t="str">
        <f ca="1">INDIRECT(ADDRESS(79,2))</f>
        <v>Heavy Truck</v>
      </c>
      <c r="AL79" s="3">
        <f ca="1">INDIRECT(ADDRESS(79,3))</f>
        <v>18055216.234627001</v>
      </c>
      <c r="AM79" s="4">
        <f ca="1">IFERROR(INDIRECT(ADDRESS(79,3)) / INDIRECT(ADDRESS(84,3)),0)</f>
        <v>0.37302170943206214</v>
      </c>
      <c r="AN79" s="3">
        <f ca="1">INDIRECT(ADDRESS(79,9))</f>
        <v>15752192.977568001</v>
      </c>
      <c r="AO79" s="4">
        <f ca="1">IFERROR(INDIRECT(ADDRESS(79,9)) / INDIRECT(ADDRESS(84,9)),0)</f>
        <v>0.34369880936932989</v>
      </c>
      <c r="AP79" s="4">
        <f ca="1">IFERROR((INDIRECT(ADDRESS(79,9)) - INDIRECT(ADDRESS(79,3)))/ INDIRECT(ADDRESS(79,3)),1)</f>
        <v>-0.12755445446519617</v>
      </c>
      <c r="AQ79" s="3">
        <f ca="1">INDIRECT(ADDRESS(79,14))</f>
        <v>14802295.707105</v>
      </c>
      <c r="AR79" s="4">
        <f ca="1">IFERROR(INDIRECT(ADDRESS(79,14)) / INDIRECT(ADDRESS(84,14)),0)</f>
        <v>0.34714700950133215</v>
      </c>
      <c r="AS79" s="4">
        <f ca="1">IFERROR((INDIRECT(ADDRESS(79,14)) - INDIRECT(ADDRESS(79,3)))/ INDIRECT(ADDRESS(79,3)),1)</f>
        <v>-0.18016513816563565</v>
      </c>
      <c r="AT79" s="3">
        <f ca="1">INDIRECT(ADDRESS(79,19))</f>
        <v>14488217.821497001</v>
      </c>
      <c r="AU79" s="4">
        <f ca="1">IFERROR(INDIRECT(ADDRESS(79,19)) / INDIRECT(ADDRESS(84,19)),0)</f>
        <v>0.34242241076878144</v>
      </c>
      <c r="AV79" s="4">
        <f ca="1">IFERROR((INDIRECT(ADDRESS(79,19)) - INDIRECT(ADDRESS(79,3)))/ INDIRECT(ADDRESS(79,3)),1)</f>
        <v>-0.19756054797555239</v>
      </c>
      <c r="AW79" s="3">
        <f ca="1">INDIRECT(ADDRESS(79,24))</f>
        <v>14520644.876801001</v>
      </c>
      <c r="AX79" s="4">
        <f ca="1">IFERROR(INDIRECT(ADDRESS(79,24)) / INDIRECT(ADDRESS(84,24)),0)</f>
        <v>0.34159870951889937</v>
      </c>
      <c r="AY79" s="4">
        <f ca="1">IFERROR((INDIRECT(ADDRESS(79,24)) - INDIRECT(ADDRESS(79,3)))/ INDIRECT(ADDRESS(79,3)),1)</f>
        <v>-0.19576455423708861</v>
      </c>
      <c r="AZ79" s="3">
        <f ca="1">INDIRECT(ADDRESS(79,29))</f>
        <v>14656582.300649</v>
      </c>
      <c r="BA79" s="4">
        <f ca="1">IFERROR(INDIRECT(ADDRESS(79,29)) / INDIRECT(ADDRESS(84,29)),0)</f>
        <v>0.34233700324070288</v>
      </c>
      <c r="BB79" s="4">
        <f ca="1">IFERROR((INDIRECT(ADDRESS(79,29)) - INDIRECT(ADDRESS(79,3)))/ INDIRECT(ADDRESS(79,3)),1)</f>
        <v>-0.18823557080750811</v>
      </c>
      <c r="BC79" s="3">
        <f ca="1">INDIRECT(ADDRESS(79,34))</f>
        <v>14850382.499908</v>
      </c>
      <c r="BD79" s="4">
        <f ca="1">IFERROR(INDIRECT(ADDRESS(79,34)) / INDIRECT(ADDRESS(84,34)),0)</f>
        <v>0.34170186449498108</v>
      </c>
      <c r="BE79" s="4">
        <f ca="1">IFERROR((INDIRECT(ADDRESS(79,34)) - INDIRECT(ADDRESS(79,3)))/ INDIRECT(ADDRESS(79,3)),1)</f>
        <v>-0.17750181958899197</v>
      </c>
    </row>
    <row r="80" spans="1:57" x14ac:dyDescent="0.25">
      <c r="A80" s="5"/>
      <c r="B80" s="1" t="s">
        <v>141</v>
      </c>
      <c r="C80">
        <v>8031389.0061720004</v>
      </c>
      <c r="D80">
        <v>8504078.2528760005</v>
      </c>
      <c r="E80">
        <v>8730085.4121850003</v>
      </c>
      <c r="F80">
        <v>8714901.3584180009</v>
      </c>
      <c r="G80">
        <v>8806361.0087320004</v>
      </c>
      <c r="H80">
        <v>8720716.9756930005</v>
      </c>
      <c r="I80">
        <v>8380343.2060219999</v>
      </c>
      <c r="J80">
        <v>8213199.9293860001</v>
      </c>
      <c r="K80">
        <v>8038272.3429389996</v>
      </c>
      <c r="L80">
        <v>7823998.2607280007</v>
      </c>
      <c r="M80">
        <v>7626627.3135860004</v>
      </c>
      <c r="N80">
        <v>7546833.7330689998</v>
      </c>
      <c r="O80">
        <v>7486993.4234739998</v>
      </c>
      <c r="P80">
        <v>7486498.9176160004</v>
      </c>
      <c r="Q80">
        <v>7514266.4192660004</v>
      </c>
      <c r="R80">
        <v>7463759.9188250015</v>
      </c>
      <c r="S80">
        <v>7491828.2077170014</v>
      </c>
      <c r="T80">
        <v>7491926.6601630002</v>
      </c>
      <c r="U80">
        <v>7494175.1062119994</v>
      </c>
      <c r="V80">
        <v>7502536.6476179995</v>
      </c>
      <c r="W80">
        <v>7526358.3631459996</v>
      </c>
      <c r="X80">
        <v>7561185.3336140001</v>
      </c>
      <c r="Y80">
        <v>7588016.3379840003</v>
      </c>
      <c r="Z80">
        <v>7608601.932174</v>
      </c>
      <c r="AA80">
        <v>7625365.4457379999</v>
      </c>
      <c r="AB80">
        <v>7642984.3626650004</v>
      </c>
      <c r="AC80">
        <v>7664992.1957679996</v>
      </c>
      <c r="AD80">
        <v>7693528.1851089997</v>
      </c>
      <c r="AE80">
        <v>7732712.9855819996</v>
      </c>
      <c r="AF80">
        <v>7782738.7760419995</v>
      </c>
      <c r="AG80">
        <v>7842250.0836570002</v>
      </c>
      <c r="AH80">
        <v>7906286.9424409997</v>
      </c>
      <c r="AK80" s="3" t="str">
        <f ca="1">INDIRECT(ADDRESS(80,2))</f>
        <v>Light Truck</v>
      </c>
      <c r="AL80" s="3">
        <f ca="1">INDIRECT(ADDRESS(80,3))</f>
        <v>8031389.0061720004</v>
      </c>
      <c r="AM80" s="4">
        <f ca="1">IFERROR(INDIRECT(ADDRESS(80,3)) / INDIRECT(ADDRESS(84,3)),0)</f>
        <v>0.16592891590245978</v>
      </c>
      <c r="AN80" s="3">
        <f ca="1">INDIRECT(ADDRESS(80,9))</f>
        <v>8380343.2060219999</v>
      </c>
      <c r="AO80" s="4">
        <f ca="1">IFERROR(INDIRECT(ADDRESS(80,9)) / INDIRECT(ADDRESS(84,9)),0)</f>
        <v>0.18285161857259122</v>
      </c>
      <c r="AP80" s="4">
        <f ca="1">IFERROR((INDIRECT(ADDRESS(80,9)) - INDIRECT(ADDRESS(80,3)))/ INDIRECT(ADDRESS(80,3)),1)</f>
        <v>4.3448798157060195E-2</v>
      </c>
      <c r="AQ80" s="3">
        <f ca="1">INDIRECT(ADDRESS(80,14))</f>
        <v>7546833.7330689998</v>
      </c>
      <c r="AR80" s="4">
        <f ca="1">IFERROR(INDIRECT(ADDRESS(80,14)) / INDIRECT(ADDRESS(84,14)),0)</f>
        <v>0.17699016513912519</v>
      </c>
      <c r="AS80" s="4">
        <f ca="1">IFERROR((INDIRECT(ADDRESS(80,14)) - INDIRECT(ADDRESS(80,3)))/ INDIRECT(ADDRESS(80,3)),1)</f>
        <v>-6.0332686255220265E-2</v>
      </c>
      <c r="AT80" s="3">
        <f ca="1">INDIRECT(ADDRESS(80,19))</f>
        <v>7491828.2077170014</v>
      </c>
      <c r="AU80" s="4">
        <f ca="1">IFERROR(INDIRECT(ADDRESS(80,19)) / INDIRECT(ADDRESS(84,19)),0)</f>
        <v>0.17706593782332761</v>
      </c>
      <c r="AV80" s="4">
        <f ca="1">IFERROR((INDIRECT(ADDRESS(80,19)) - INDIRECT(ADDRESS(80,3)))/ INDIRECT(ADDRESS(80,3)),1)</f>
        <v>-6.7181504723573315E-2</v>
      </c>
      <c r="AW80" s="3">
        <f ca="1">INDIRECT(ADDRESS(80,24))</f>
        <v>7561185.3336140001</v>
      </c>
      <c r="AX80" s="4">
        <f ca="1">IFERROR(INDIRECT(ADDRESS(80,24)) / INDIRECT(ADDRESS(84,24)),0)</f>
        <v>0.17787716553294017</v>
      </c>
      <c r="AY80" s="4">
        <f ca="1">IFERROR((INDIRECT(ADDRESS(80,24)) - INDIRECT(ADDRESS(80,3)))/ INDIRECT(ADDRESS(80,3)),1)</f>
        <v>-5.854574746618E-2</v>
      </c>
      <c r="AZ80" s="3">
        <f ca="1">INDIRECT(ADDRESS(80,29))</f>
        <v>7664992.1957679996</v>
      </c>
      <c r="BA80" s="4">
        <f ca="1">IFERROR(INDIRECT(ADDRESS(80,29)) / INDIRECT(ADDRESS(84,29)),0)</f>
        <v>0.17903290169130354</v>
      </c>
      <c r="BB80" s="4">
        <f ca="1">IFERROR((INDIRECT(ADDRESS(80,29)) - INDIRECT(ADDRESS(80,3)))/ INDIRECT(ADDRESS(80,3)),1)</f>
        <v>-4.5620603126362132E-2</v>
      </c>
      <c r="BC80" s="3">
        <f ca="1">INDIRECT(ADDRESS(80,34))</f>
        <v>7906286.9424409997</v>
      </c>
      <c r="BD80" s="4">
        <f ca="1">IFERROR(INDIRECT(ADDRESS(80,34)) / INDIRECT(ADDRESS(84,34)),0)</f>
        <v>0.18192076799915083</v>
      </c>
      <c r="BE80" s="4">
        <f ca="1">IFERROR((INDIRECT(ADDRESS(80,34)) - INDIRECT(ADDRESS(80,3)))/ INDIRECT(ADDRESS(80,3)),1)</f>
        <v>-1.5576641056093998E-2</v>
      </c>
    </row>
    <row r="81" spans="1:57" x14ac:dyDescent="0.25">
      <c r="A81" s="5"/>
      <c r="B81" s="1" t="s">
        <v>170</v>
      </c>
      <c r="C81">
        <v>5718148.28773</v>
      </c>
      <c r="D81">
        <v>5718148.28773</v>
      </c>
      <c r="E81">
        <v>5718148.28773</v>
      </c>
      <c r="F81">
        <v>5718148.28773</v>
      </c>
      <c r="G81">
        <v>5718148.28773</v>
      </c>
      <c r="H81">
        <v>5718148.28773</v>
      </c>
      <c r="I81">
        <v>5718148.28773</v>
      </c>
      <c r="J81">
        <v>5718148.28773</v>
      </c>
      <c r="K81">
        <v>5718148.28773</v>
      </c>
      <c r="L81">
        <v>5718148.28773</v>
      </c>
      <c r="M81">
        <v>5718148.28773</v>
      </c>
      <c r="N81">
        <v>5718148.28773</v>
      </c>
      <c r="O81">
        <v>5718148.28773</v>
      </c>
      <c r="P81">
        <v>5718148.28773</v>
      </c>
      <c r="Q81">
        <v>5718148.28773</v>
      </c>
      <c r="R81">
        <v>5718148.28773</v>
      </c>
      <c r="S81">
        <v>5718148.28773</v>
      </c>
      <c r="T81">
        <v>5718148.28773</v>
      </c>
      <c r="U81">
        <v>5718148.28773</v>
      </c>
      <c r="V81">
        <v>5718148.28773</v>
      </c>
      <c r="W81">
        <v>5718148.28773</v>
      </c>
      <c r="X81">
        <v>5718148.28773</v>
      </c>
      <c r="Y81">
        <v>5718148.28773</v>
      </c>
      <c r="Z81">
        <v>5718148.28773</v>
      </c>
      <c r="AA81">
        <v>5718148.28773</v>
      </c>
      <c r="AB81">
        <v>5718148.28773</v>
      </c>
      <c r="AC81">
        <v>5718148.28773</v>
      </c>
      <c r="AD81">
        <v>5718148.28773</v>
      </c>
      <c r="AE81">
        <v>5718148.28773</v>
      </c>
      <c r="AF81">
        <v>5718148.28773</v>
      </c>
      <c r="AG81">
        <v>5718148.28773</v>
      </c>
      <c r="AH81">
        <v>5718148.28773</v>
      </c>
      <c r="AK81" s="3" t="str">
        <f ca="1">INDIRECT(ADDRESS(81,2))</f>
        <v>Marine</v>
      </c>
      <c r="AL81" s="3">
        <f ca="1">INDIRECT(ADDRESS(81,3))</f>
        <v>5718148.28773</v>
      </c>
      <c r="AM81" s="4">
        <f ca="1">IFERROR(INDIRECT(ADDRESS(81,3)) / INDIRECT(ADDRESS(84,3)),0)</f>
        <v>0.11813724196691287</v>
      </c>
      <c r="AN81" s="3">
        <f ca="1">INDIRECT(ADDRESS(81,9))</f>
        <v>5718148.28773</v>
      </c>
      <c r="AO81" s="4">
        <f ca="1">IFERROR(INDIRECT(ADDRESS(81,9)) / INDIRECT(ADDRESS(84,9)),0)</f>
        <v>0.12476489851849831</v>
      </c>
      <c r="AP81" s="4">
        <f ca="1">IFERROR((INDIRECT(ADDRESS(81,9)) - INDIRECT(ADDRESS(81,3)))/ INDIRECT(ADDRESS(81,3)),1)</f>
        <v>0</v>
      </c>
      <c r="AQ81" s="3">
        <f ca="1">INDIRECT(ADDRESS(81,14))</f>
        <v>5718148.28773</v>
      </c>
      <c r="AR81" s="4">
        <f ca="1">IFERROR(INDIRECT(ADDRESS(81,14)) / INDIRECT(ADDRESS(84,14)),0)</f>
        <v>0.13410339296341903</v>
      </c>
      <c r="AS81" s="4">
        <f ca="1">IFERROR((INDIRECT(ADDRESS(81,14)) - INDIRECT(ADDRESS(81,3)))/ INDIRECT(ADDRESS(81,3)),1)</f>
        <v>0</v>
      </c>
      <c r="AT81" s="3">
        <f ca="1">INDIRECT(ADDRESS(81,19))</f>
        <v>5718148.28773</v>
      </c>
      <c r="AU81" s="4">
        <f ca="1">IFERROR(INDIRECT(ADDRESS(81,19)) / INDIRECT(ADDRESS(84,19)),0)</f>
        <v>0.13514582303647152</v>
      </c>
      <c r="AV81" s="4">
        <f ca="1">IFERROR((INDIRECT(ADDRESS(81,19)) - INDIRECT(ADDRESS(81,3)))/ INDIRECT(ADDRESS(81,3)),1)</f>
        <v>0</v>
      </c>
      <c r="AW81" s="3">
        <f ca="1">INDIRECT(ADDRESS(81,24))</f>
        <v>5718148.28773</v>
      </c>
      <c r="AX81" s="4">
        <f ca="1">IFERROR(INDIRECT(ADDRESS(81,24)) / INDIRECT(ADDRESS(84,24)),0)</f>
        <v>0.13451965064216903</v>
      </c>
      <c r="AY81" s="4">
        <f ca="1">IFERROR((INDIRECT(ADDRESS(81,24)) - INDIRECT(ADDRESS(81,3)))/ INDIRECT(ADDRESS(81,3)),1)</f>
        <v>0</v>
      </c>
      <c r="AZ81" s="3">
        <f ca="1">INDIRECT(ADDRESS(81,29))</f>
        <v>5718148.28773</v>
      </c>
      <c r="BA81" s="4">
        <f ca="1">IFERROR(INDIRECT(ADDRESS(81,29)) / INDIRECT(ADDRESS(84,29)),0)</f>
        <v>0.13356004208571626</v>
      </c>
      <c r="BB81" s="4">
        <f ca="1">IFERROR((INDIRECT(ADDRESS(81,29)) - INDIRECT(ADDRESS(81,3)))/ INDIRECT(ADDRESS(81,3)),1)</f>
        <v>0</v>
      </c>
      <c r="BC81" s="3">
        <f ca="1">INDIRECT(ADDRESS(81,34))</f>
        <v>5718148.28773</v>
      </c>
      <c r="BD81" s="4">
        <f ca="1">IFERROR(INDIRECT(ADDRESS(81,34)) / INDIRECT(ADDRESS(84,34)),0)</f>
        <v>0.13157249864696946</v>
      </c>
      <c r="BE81" s="4">
        <f ca="1">IFERROR((INDIRECT(ADDRESS(81,34)) - INDIRECT(ADDRESS(81,3)))/ INDIRECT(ADDRESS(81,3)),1)</f>
        <v>0</v>
      </c>
    </row>
    <row r="82" spans="1:57" x14ac:dyDescent="0.25">
      <c r="A82" s="5"/>
      <c r="B82" s="1" t="s">
        <v>171</v>
      </c>
      <c r="C82">
        <v>18225.297460000002</v>
      </c>
      <c r="D82">
        <v>18235.162090000002</v>
      </c>
      <c r="E82">
        <v>18252.152161999998</v>
      </c>
      <c r="F82">
        <v>18271.964696999999</v>
      </c>
      <c r="G82">
        <v>18292.051013</v>
      </c>
      <c r="H82">
        <v>18311.867883999999</v>
      </c>
      <c r="I82">
        <v>18332.535739999999</v>
      </c>
      <c r="J82">
        <v>18342.045709999999</v>
      </c>
      <c r="K82">
        <v>18351.655235999999</v>
      </c>
      <c r="L82">
        <v>18360.95679</v>
      </c>
      <c r="M82">
        <v>18369.889579999999</v>
      </c>
      <c r="N82">
        <v>18378.555187000002</v>
      </c>
      <c r="O82">
        <v>18385.033748000002</v>
      </c>
      <c r="P82">
        <v>18391.381243</v>
      </c>
      <c r="Q82">
        <v>18398.174079</v>
      </c>
      <c r="R82">
        <v>18404.911499999998</v>
      </c>
      <c r="S82">
        <v>18411.799808</v>
      </c>
      <c r="T82">
        <v>18417.449106</v>
      </c>
      <c r="U82">
        <v>18423.055859</v>
      </c>
      <c r="V82">
        <v>18428.642731</v>
      </c>
      <c r="W82">
        <v>18434.229721</v>
      </c>
      <c r="X82">
        <v>18439.806466000002</v>
      </c>
      <c r="Y82">
        <v>18445.506045999999</v>
      </c>
      <c r="Z82">
        <v>18451.151443999999</v>
      </c>
      <c r="AA82">
        <v>18456.746793999999</v>
      </c>
      <c r="AB82">
        <v>18462.305318999999</v>
      </c>
      <c r="AC82">
        <v>18467.859002000001</v>
      </c>
      <c r="AD82">
        <v>18473.129121000002</v>
      </c>
      <c r="AE82">
        <v>18478.414957000001</v>
      </c>
      <c r="AF82">
        <v>18483.710403000001</v>
      </c>
      <c r="AG82">
        <v>18489.005819000002</v>
      </c>
      <c r="AH82">
        <v>18494.280942000001</v>
      </c>
      <c r="AK82" s="3" t="str">
        <f ca="1">INDIRECT(ADDRESS(82,2))</f>
        <v>Rail</v>
      </c>
      <c r="AL82" s="3">
        <f ca="1">INDIRECT(ADDRESS(82,3))</f>
        <v>18225.297460000002</v>
      </c>
      <c r="AM82" s="4">
        <f ca="1">IFERROR(INDIRECT(ADDRESS(82,3)) / INDIRECT(ADDRESS(84,3)),0)</f>
        <v>3.7653559642219749E-4</v>
      </c>
      <c r="AN82" s="3">
        <f ca="1">INDIRECT(ADDRESS(82,9))</f>
        <v>18332.535739999999</v>
      </c>
      <c r="AO82" s="4">
        <f ca="1">IFERROR(INDIRECT(ADDRESS(82,9)) / INDIRECT(ADDRESS(84,9)),0)</f>
        <v>3.999995883450309E-4</v>
      </c>
      <c r="AP82" s="4">
        <f ca="1">IFERROR((INDIRECT(ADDRESS(82,9)) - INDIRECT(ADDRESS(82,3)))/ INDIRECT(ADDRESS(82,3)),1)</f>
        <v>5.8840345533651304E-3</v>
      </c>
      <c r="AQ82" s="3">
        <f ca="1">INDIRECT(ADDRESS(82,14))</f>
        <v>18378.555187000002</v>
      </c>
      <c r="AR82" s="4">
        <f ca="1">IFERROR(INDIRECT(ADDRESS(82,14)) / INDIRECT(ADDRESS(84,14)),0)</f>
        <v>4.3101830948153949E-4</v>
      </c>
      <c r="AS82" s="4">
        <f ca="1">IFERROR((INDIRECT(ADDRESS(82,14)) - INDIRECT(ADDRESS(82,3)))/ INDIRECT(ADDRESS(82,3)),1)</f>
        <v>8.4090658786976063E-3</v>
      </c>
      <c r="AT82" s="3">
        <f ca="1">INDIRECT(ADDRESS(82,19))</f>
        <v>18411.799808</v>
      </c>
      <c r="AU82" s="4">
        <f ca="1">IFERROR(INDIRECT(ADDRESS(82,19)) / INDIRECT(ADDRESS(84,19)),0)</f>
        <v>4.3515447893757031E-4</v>
      </c>
      <c r="AV82" s="4">
        <f ca="1">IFERROR((INDIRECT(ADDRESS(82,19)) - INDIRECT(ADDRESS(82,3)))/ INDIRECT(ADDRESS(82,3)),1)</f>
        <v>1.0233157972281356E-2</v>
      </c>
      <c r="AW82" s="3">
        <f ca="1">INDIRECT(ADDRESS(82,24))</f>
        <v>18439.806466000002</v>
      </c>
      <c r="AX82" s="4">
        <f ca="1">IFERROR(INDIRECT(ADDRESS(82,24)) / INDIRECT(ADDRESS(84,24)),0)</f>
        <v>4.3379713132627574E-4</v>
      </c>
      <c r="AY82" s="4">
        <f ca="1">IFERROR((INDIRECT(ADDRESS(82,24)) - INDIRECT(ADDRESS(82,3)))/ INDIRECT(ADDRESS(82,3)),1)</f>
        <v>1.1769849379456998E-2</v>
      </c>
      <c r="AZ82" s="3">
        <f ca="1">INDIRECT(ADDRESS(82,29))</f>
        <v>18467.859002000001</v>
      </c>
      <c r="BA82" s="4">
        <f ca="1">IFERROR(INDIRECT(ADDRESS(82,29)) / INDIRECT(ADDRESS(84,29)),0)</f>
        <v>4.3135782799354026E-4</v>
      </c>
      <c r="BB82" s="4">
        <f ca="1">IFERROR((INDIRECT(ADDRESS(82,29)) - INDIRECT(ADDRESS(82,3)))/ INDIRECT(ADDRESS(82,3)),1)</f>
        <v>1.3309058056932227E-2</v>
      </c>
      <c r="BC82" s="3">
        <f ca="1">INDIRECT(ADDRESS(82,34))</f>
        <v>18494.280942000001</v>
      </c>
      <c r="BD82" s="4">
        <f ca="1">IFERROR(INDIRECT(ADDRESS(82,34)) / INDIRECT(ADDRESS(84,34)),0)</f>
        <v>4.2554663359105702E-4</v>
      </c>
      <c r="BE82" s="4">
        <f ca="1">IFERROR((INDIRECT(ADDRESS(82,34)) - INDIRECT(ADDRESS(82,3)))/ INDIRECT(ADDRESS(82,3)),1)</f>
        <v>1.4758797906610388E-2</v>
      </c>
    </row>
    <row r="83" spans="1:57" x14ac:dyDescent="0.25">
      <c r="A83" s="5"/>
      <c r="B83" s="1" t="s">
        <v>142</v>
      </c>
      <c r="C83">
        <v>284513.37434799998</v>
      </c>
      <c r="D83">
        <v>284533.27694700001</v>
      </c>
      <c r="E83">
        <v>284556.357479</v>
      </c>
      <c r="F83">
        <v>284575.56913399999</v>
      </c>
      <c r="G83">
        <v>284597.79778999998</v>
      </c>
      <c r="H83">
        <v>284619.39262100001</v>
      </c>
      <c r="I83">
        <v>284658.57299000002</v>
      </c>
      <c r="J83">
        <v>284674.86863699998</v>
      </c>
      <c r="K83">
        <v>284696.66275999998</v>
      </c>
      <c r="L83">
        <v>284717.75988000003</v>
      </c>
      <c r="M83">
        <v>284736.51324200002</v>
      </c>
      <c r="N83">
        <v>284752.91263899999</v>
      </c>
      <c r="O83">
        <v>284764.61014</v>
      </c>
      <c r="P83">
        <v>284774.318241</v>
      </c>
      <c r="Q83">
        <v>284781.19726699998</v>
      </c>
      <c r="R83">
        <v>284786.62808300002</v>
      </c>
      <c r="S83">
        <v>284792.45098899998</v>
      </c>
      <c r="T83">
        <v>284796.833018</v>
      </c>
      <c r="U83">
        <v>284800.767804</v>
      </c>
      <c r="V83">
        <v>284804.32811200002</v>
      </c>
      <c r="W83">
        <v>284807.77832600003</v>
      </c>
      <c r="X83">
        <v>284811.165775</v>
      </c>
      <c r="Y83">
        <v>284814.52170099999</v>
      </c>
      <c r="Z83">
        <v>284817.77755699999</v>
      </c>
      <c r="AA83">
        <v>284820.97682500002</v>
      </c>
      <c r="AB83">
        <v>284824.146534</v>
      </c>
      <c r="AC83">
        <v>284827.336947</v>
      </c>
      <c r="AD83">
        <v>284830.40043899999</v>
      </c>
      <c r="AE83">
        <v>284833.54696200002</v>
      </c>
      <c r="AF83">
        <v>284836.772589</v>
      </c>
      <c r="AG83">
        <v>284840.06544400001</v>
      </c>
      <c r="AH83">
        <v>284843.37226199999</v>
      </c>
      <c r="AK83" s="3" t="str">
        <f ca="1">INDIRECT(ADDRESS(83,2))</f>
        <v>Urban Bus</v>
      </c>
      <c r="AL83" s="3">
        <f ca="1">INDIRECT(ADDRESS(83,3))</f>
        <v>284513.37434799998</v>
      </c>
      <c r="AM83" s="4">
        <f ca="1">IFERROR(INDIRECT(ADDRESS(83,3)) / INDIRECT(ADDRESS(84,3)),0)</f>
        <v>5.878061158416676E-3</v>
      </c>
      <c r="AN83" s="3">
        <f ca="1">INDIRECT(ADDRESS(83,9))</f>
        <v>284658.57299000002</v>
      </c>
      <c r="AO83" s="4">
        <f ca="1">IFERROR(INDIRECT(ADDRESS(83,9)) / INDIRECT(ADDRESS(84,9)),0)</f>
        <v>6.2109963198622919E-3</v>
      </c>
      <c r="AP83" s="4">
        <f ca="1">IFERROR((INDIRECT(ADDRESS(83,9)) - INDIRECT(ADDRESS(83,3)))/ INDIRECT(ADDRESS(83,3)),1)</f>
        <v>5.1034030415186631E-4</v>
      </c>
      <c r="AQ83" s="3">
        <f ca="1">INDIRECT(ADDRESS(83,14))</f>
        <v>284752.91263899999</v>
      </c>
      <c r="AR83" s="4">
        <f ca="1">IFERROR(INDIRECT(ADDRESS(83,14)) / INDIRECT(ADDRESS(84,14)),0)</f>
        <v>6.678093994702124E-3</v>
      </c>
      <c r="AS83" s="4">
        <f ca="1">IFERROR((INDIRECT(ADDRESS(83,14)) - INDIRECT(ADDRESS(83,3)))/ INDIRECT(ADDRESS(83,3)),1)</f>
        <v>8.4192277972498851E-4</v>
      </c>
      <c r="AT83" s="3">
        <f ca="1">INDIRECT(ADDRESS(83,19))</f>
        <v>284792.45098899998</v>
      </c>
      <c r="AU83" s="4">
        <f ca="1">IFERROR(INDIRECT(ADDRESS(83,19)) / INDIRECT(ADDRESS(84,19)),0)</f>
        <v>6.7309395011792552E-3</v>
      </c>
      <c r="AV83" s="4">
        <f ca="1">IFERROR((INDIRECT(ADDRESS(83,19)) - INDIRECT(ADDRESS(83,3)))/ INDIRECT(ADDRESS(83,3)),1)</f>
        <v>9.8089111501184576E-4</v>
      </c>
      <c r="AW83" s="3">
        <f ca="1">INDIRECT(ADDRESS(83,24))</f>
        <v>284811.165775</v>
      </c>
      <c r="AX83" s="4">
        <f ca="1">IFERROR(INDIRECT(ADDRESS(83,24)) / INDIRECT(ADDRESS(84,24)),0)</f>
        <v>6.7001932428463352E-3</v>
      </c>
      <c r="AY83" s="4">
        <f ca="1">IFERROR((INDIRECT(ADDRESS(83,24)) - INDIRECT(ADDRESS(83,3)))/ INDIRECT(ADDRESS(83,3)),1)</f>
        <v>1.0466693443935517E-3</v>
      </c>
      <c r="AZ83" s="3">
        <f ca="1">INDIRECT(ADDRESS(83,29))</f>
        <v>284827.336947</v>
      </c>
      <c r="BA83" s="4">
        <f ca="1">IFERROR(INDIRECT(ADDRESS(83,29)) / INDIRECT(ADDRESS(84,29)),0)</f>
        <v>6.6527744989463376E-3</v>
      </c>
      <c r="BB83" s="4">
        <f ca="1">IFERROR((INDIRECT(ADDRESS(83,29)) - INDIRECT(ADDRESS(83,3)))/ INDIRECT(ADDRESS(83,3)),1)</f>
        <v>1.1035073473066328E-3</v>
      </c>
      <c r="BC83" s="3">
        <f ca="1">INDIRECT(ADDRESS(83,34))</f>
        <v>284843.37226199999</v>
      </c>
      <c r="BD83" s="4">
        <f ca="1">IFERROR(INDIRECT(ADDRESS(83,34)) / INDIRECT(ADDRESS(84,34)),0)</f>
        <v>6.5541417126169206E-3</v>
      </c>
      <c r="BE83" s="4">
        <f ca="1">IFERROR((INDIRECT(ADDRESS(83,34)) - INDIRECT(ADDRESS(83,3)))/ INDIRECT(ADDRESS(83,3)),1)</f>
        <v>1.159867843669004E-3</v>
      </c>
    </row>
    <row r="84" spans="1:57" x14ac:dyDescent="0.25">
      <c r="A84" s="1" t="s">
        <v>21</v>
      </c>
      <c r="B84" s="1"/>
      <c r="C84">
        <v>48402588.316150993</v>
      </c>
      <c r="D84">
        <v>47827030.051931001</v>
      </c>
      <c r="E84">
        <v>47830596.298179001</v>
      </c>
      <c r="F84">
        <v>47596559.758052997</v>
      </c>
      <c r="G84">
        <v>47435743.648103997</v>
      </c>
      <c r="H84">
        <v>47038978.330510996</v>
      </c>
      <c r="I84">
        <v>45831386.516795002</v>
      </c>
      <c r="J84">
        <v>45151477.080537997</v>
      </c>
      <c r="K84">
        <v>44409426.76564499</v>
      </c>
      <c r="L84">
        <v>43673122.809097998</v>
      </c>
      <c r="M84">
        <v>43026629.26427599</v>
      </c>
      <c r="N84">
        <v>42639847.966335997</v>
      </c>
      <c r="O84">
        <v>42419399.54569</v>
      </c>
      <c r="P84">
        <v>42354132.220819987</v>
      </c>
      <c r="Q84">
        <v>42362989.04665</v>
      </c>
      <c r="R84">
        <v>42253916.063536987</v>
      </c>
      <c r="S84">
        <v>42310950.936210997</v>
      </c>
      <c r="T84">
        <v>42325667.236491993</v>
      </c>
      <c r="U84">
        <v>42338862.986478992</v>
      </c>
      <c r="V84">
        <v>42365078.718211003</v>
      </c>
      <c r="W84">
        <v>42422641.770436987</v>
      </c>
      <c r="X84">
        <v>42507903.198028997</v>
      </c>
      <c r="Y84">
        <v>42574202.925690003</v>
      </c>
      <c r="Z84">
        <v>42632012.453723997</v>
      </c>
      <c r="AA84">
        <v>42685388.788057998</v>
      </c>
      <c r="AB84">
        <v>42743546.740371987</v>
      </c>
      <c r="AC84">
        <v>42813316.007045001</v>
      </c>
      <c r="AD84">
        <v>42901543.419941999</v>
      </c>
      <c r="AE84">
        <v>43011426.754516996</v>
      </c>
      <c r="AF84">
        <v>43144103.409061</v>
      </c>
      <c r="AG84">
        <v>43297141.727075987</v>
      </c>
      <c r="AH84">
        <v>43460056.976441003</v>
      </c>
    </row>
    <row r="87" spans="1:57" x14ac:dyDescent="0.25">
      <c r="A87" s="1" t="s">
        <v>0</v>
      </c>
      <c r="B87" s="1" t="s">
        <v>138</v>
      </c>
      <c r="C87" s="1"/>
      <c r="D87" s="1" t="s">
        <v>41</v>
      </c>
      <c r="E87" s="1" t="s">
        <v>127</v>
      </c>
      <c r="F87" s="1" t="s">
        <v>44</v>
      </c>
      <c r="G87" s="1" t="s">
        <v>45</v>
      </c>
      <c r="H87" s="1" t="s">
        <v>46</v>
      </c>
    </row>
    <row r="88" spans="1:57" x14ac:dyDescent="0.25">
      <c r="A88" s="5" t="s">
        <v>2</v>
      </c>
      <c r="B88" s="5" t="s">
        <v>169</v>
      </c>
      <c r="C88" s="1">
        <v>2019</v>
      </c>
      <c r="G88">
        <v>7872484.352</v>
      </c>
    </row>
    <row r="89" spans="1:57" x14ac:dyDescent="0.25">
      <c r="A89" s="5"/>
      <c r="B89" s="5"/>
      <c r="C89" s="1">
        <v>2050</v>
      </c>
      <c r="G89">
        <v>6297987.5754469996</v>
      </c>
    </row>
    <row r="90" spans="1:57" x14ac:dyDescent="0.25">
      <c r="A90" s="5"/>
      <c r="B90" s="5" t="s">
        <v>139</v>
      </c>
      <c r="C90" s="1">
        <v>2019</v>
      </c>
      <c r="D90">
        <v>155602.57332600001</v>
      </c>
      <c r="E90">
        <v>8261519.8331279997</v>
      </c>
      <c r="F90">
        <v>5489.35736</v>
      </c>
    </row>
    <row r="91" spans="1:57" x14ac:dyDescent="0.25">
      <c r="A91" s="5"/>
      <c r="B91" s="5"/>
      <c r="C91" s="1">
        <v>2050</v>
      </c>
      <c r="D91">
        <v>241.786316</v>
      </c>
      <c r="E91">
        <v>5204.1842489999999</v>
      </c>
      <c r="F91">
        <v>41322.186432000002</v>
      </c>
    </row>
    <row r="92" spans="1:57" x14ac:dyDescent="0.25">
      <c r="A92" s="5"/>
      <c r="B92" s="5" t="s">
        <v>140</v>
      </c>
      <c r="C92" s="1">
        <v>2019</v>
      </c>
      <c r="D92">
        <v>9523683.0892169997</v>
      </c>
      <c r="E92">
        <v>8531533.1454099994</v>
      </c>
      <c r="F92">
        <v>0</v>
      </c>
      <c r="H92">
        <v>0</v>
      </c>
    </row>
    <row r="93" spans="1:57" x14ac:dyDescent="0.25">
      <c r="A93" s="5"/>
      <c r="B93" s="5"/>
      <c r="C93" s="1">
        <v>2050</v>
      </c>
      <c r="D93">
        <v>0</v>
      </c>
      <c r="E93">
        <v>0</v>
      </c>
      <c r="F93">
        <v>29645.069024</v>
      </c>
      <c r="H93">
        <v>226108.64778200001</v>
      </c>
    </row>
    <row r="94" spans="1:57" x14ac:dyDescent="0.25">
      <c r="A94" s="5"/>
      <c r="B94" s="5" t="s">
        <v>141</v>
      </c>
      <c r="C94" s="1">
        <v>2019</v>
      </c>
      <c r="D94">
        <v>565250.42151799996</v>
      </c>
      <c r="E94">
        <v>7457037.3025010005</v>
      </c>
      <c r="F94">
        <v>9101.2821530000001</v>
      </c>
    </row>
    <row r="95" spans="1:57" x14ac:dyDescent="0.25">
      <c r="A95" s="5"/>
      <c r="B95" s="5"/>
      <c r="C95" s="1">
        <v>2050</v>
      </c>
      <c r="D95">
        <v>1163.2933459999999</v>
      </c>
      <c r="E95">
        <v>6121.6190360000001</v>
      </c>
      <c r="F95">
        <v>48046.339053000003</v>
      </c>
    </row>
    <row r="96" spans="1:57" x14ac:dyDescent="0.25">
      <c r="A96" s="5"/>
      <c r="B96" s="5" t="s">
        <v>170</v>
      </c>
      <c r="C96" s="1">
        <v>2019</v>
      </c>
      <c r="D96">
        <v>5718148.28773</v>
      </c>
      <c r="F96">
        <v>0</v>
      </c>
    </row>
    <row r="97" spans="1:8" x14ac:dyDescent="0.25">
      <c r="A97" s="5"/>
      <c r="B97" s="5"/>
      <c r="C97" s="1">
        <v>2050</v>
      </c>
      <c r="D97">
        <v>2287259.3491750001</v>
      </c>
      <c r="F97">
        <v>29397.810571000002</v>
      </c>
    </row>
    <row r="98" spans="1:8" x14ac:dyDescent="0.25">
      <c r="A98" s="5"/>
      <c r="B98" s="5" t="s">
        <v>171</v>
      </c>
      <c r="C98" s="1">
        <v>2019</v>
      </c>
      <c r="D98">
        <v>15342.180034999999</v>
      </c>
      <c r="F98">
        <v>2883.1174249999999</v>
      </c>
    </row>
    <row r="99" spans="1:8" x14ac:dyDescent="0.25">
      <c r="A99" s="5"/>
      <c r="B99" s="5"/>
      <c r="C99" s="1">
        <v>2050</v>
      </c>
      <c r="D99">
        <v>12273.743837</v>
      </c>
      <c r="F99">
        <v>181.640681</v>
      </c>
    </row>
    <row r="100" spans="1:8" x14ac:dyDescent="0.25">
      <c r="A100" s="5"/>
      <c r="B100" s="5" t="s">
        <v>142</v>
      </c>
      <c r="C100" s="1">
        <v>2019</v>
      </c>
      <c r="D100">
        <v>235760.713521</v>
      </c>
      <c r="E100">
        <v>36218.610944</v>
      </c>
      <c r="F100">
        <v>1633.1340990000001</v>
      </c>
      <c r="H100">
        <v>10900.915784000001</v>
      </c>
    </row>
    <row r="101" spans="1:8" x14ac:dyDescent="0.25">
      <c r="A101" s="5"/>
      <c r="B101" s="5"/>
      <c r="C101" s="1">
        <v>2050</v>
      </c>
      <c r="D101">
        <v>188512.97415299999</v>
      </c>
      <c r="E101">
        <v>29246.655423</v>
      </c>
      <c r="F101">
        <v>102.88987400000001</v>
      </c>
      <c r="H101">
        <v>9038.2488529999991</v>
      </c>
    </row>
    <row r="102" spans="1:8" x14ac:dyDescent="0.25">
      <c r="A102" s="5" t="s">
        <v>3</v>
      </c>
      <c r="B102" s="5" t="s">
        <v>169</v>
      </c>
      <c r="C102" s="1">
        <v>2019</v>
      </c>
      <c r="G102">
        <v>7872484.352</v>
      </c>
    </row>
    <row r="103" spans="1:8" x14ac:dyDescent="0.25">
      <c r="A103" s="5"/>
      <c r="B103" s="5"/>
      <c r="C103" s="1">
        <v>2050</v>
      </c>
      <c r="G103">
        <v>6297987.5754469996</v>
      </c>
    </row>
    <row r="104" spans="1:8" x14ac:dyDescent="0.25">
      <c r="A104" s="5"/>
      <c r="B104" s="5" t="s">
        <v>139</v>
      </c>
      <c r="C104" s="1">
        <v>2019</v>
      </c>
      <c r="D104">
        <v>155602.57332600001</v>
      </c>
      <c r="E104">
        <v>8261519.8331279997</v>
      </c>
      <c r="F104">
        <v>5489.35736</v>
      </c>
    </row>
    <row r="105" spans="1:8" x14ac:dyDescent="0.25">
      <c r="A105" s="5"/>
      <c r="B105" s="5"/>
      <c r="C105" s="1">
        <v>2050</v>
      </c>
      <c r="D105">
        <v>29.747593999999999</v>
      </c>
      <c r="E105">
        <v>628.62501399999996</v>
      </c>
      <c r="F105">
        <v>61846.510434000003</v>
      </c>
    </row>
    <row r="106" spans="1:8" x14ac:dyDescent="0.25">
      <c r="A106" s="5"/>
      <c r="B106" s="5" t="s">
        <v>140</v>
      </c>
      <c r="C106" s="1">
        <v>2019</v>
      </c>
      <c r="D106">
        <v>9523683.0892169997</v>
      </c>
      <c r="E106">
        <v>8531533.1454099994</v>
      </c>
      <c r="F106">
        <v>0</v>
      </c>
    </row>
    <row r="107" spans="1:8" x14ac:dyDescent="0.25">
      <c r="A107" s="5"/>
      <c r="B107" s="5"/>
      <c r="C107" s="1">
        <v>2050</v>
      </c>
      <c r="D107">
        <v>242581.53724000001</v>
      </c>
      <c r="E107">
        <v>211902.88770799999</v>
      </c>
      <c r="F107">
        <v>53280.872205</v>
      </c>
    </row>
    <row r="108" spans="1:8" x14ac:dyDescent="0.25">
      <c r="A108" s="5"/>
      <c r="B108" s="5" t="s">
        <v>141</v>
      </c>
      <c r="C108" s="1">
        <v>2019</v>
      </c>
      <c r="D108">
        <v>565250.42151799996</v>
      </c>
      <c r="E108">
        <v>7457037.3025010005</v>
      </c>
      <c r="F108">
        <v>9101.2821530000001</v>
      </c>
    </row>
    <row r="109" spans="1:8" x14ac:dyDescent="0.25">
      <c r="A109" s="5"/>
      <c r="B109" s="5"/>
      <c r="C109" s="1">
        <v>2050</v>
      </c>
      <c r="D109">
        <v>143.05207899999999</v>
      </c>
      <c r="E109">
        <v>739.95594200000005</v>
      </c>
      <c r="F109">
        <v>73139.690264999997</v>
      </c>
    </row>
    <row r="110" spans="1:8" x14ac:dyDescent="0.25">
      <c r="A110" s="5"/>
      <c r="B110" s="5" t="s">
        <v>170</v>
      </c>
      <c r="C110" s="1">
        <v>2019</v>
      </c>
      <c r="D110">
        <v>5718148.28773</v>
      </c>
    </row>
    <row r="111" spans="1:8" x14ac:dyDescent="0.25">
      <c r="A111" s="5"/>
      <c r="B111" s="5"/>
      <c r="C111" s="1">
        <v>2050</v>
      </c>
      <c r="D111">
        <v>4574518.6983500002</v>
      </c>
    </row>
    <row r="112" spans="1:8" x14ac:dyDescent="0.25">
      <c r="A112" s="5"/>
      <c r="B112" s="5" t="s">
        <v>171</v>
      </c>
      <c r="C112" s="1">
        <v>2019</v>
      </c>
      <c r="D112">
        <v>15342.180034999999</v>
      </c>
      <c r="F112">
        <v>2883.1174249999999</v>
      </c>
    </row>
    <row r="113" spans="1:8" x14ac:dyDescent="0.25">
      <c r="A113" s="5"/>
      <c r="B113" s="5"/>
      <c r="C113" s="1">
        <v>2050</v>
      </c>
      <c r="D113">
        <v>981.89948500000003</v>
      </c>
      <c r="F113">
        <v>181.38534100000001</v>
      </c>
    </row>
    <row r="114" spans="1:8" x14ac:dyDescent="0.25">
      <c r="A114" s="5"/>
      <c r="B114" s="5" t="s">
        <v>142</v>
      </c>
      <c r="C114" s="1">
        <v>2019</v>
      </c>
      <c r="D114">
        <v>235760.713521</v>
      </c>
      <c r="E114">
        <v>36218.610944</v>
      </c>
      <c r="F114">
        <v>1633.1340990000001</v>
      </c>
      <c r="H114">
        <v>10900.915784000001</v>
      </c>
    </row>
    <row r="115" spans="1:8" x14ac:dyDescent="0.25">
      <c r="A115" s="5"/>
      <c r="B115" s="5"/>
      <c r="C115" s="1">
        <v>2050</v>
      </c>
      <c r="D115">
        <v>15080.37255</v>
      </c>
      <c r="E115">
        <v>2350.787906</v>
      </c>
      <c r="F115">
        <v>102.74523600000001</v>
      </c>
      <c r="H115">
        <v>1015.174699</v>
      </c>
    </row>
    <row r="116" spans="1:8" x14ac:dyDescent="0.25">
      <c r="A116" s="5" t="s">
        <v>4</v>
      </c>
      <c r="B116" s="5" t="s">
        <v>169</v>
      </c>
      <c r="C116" s="1">
        <v>2019</v>
      </c>
      <c r="G116">
        <v>7872484.352</v>
      </c>
    </row>
    <row r="117" spans="1:8" x14ac:dyDescent="0.25">
      <c r="A117" s="5"/>
      <c r="B117" s="5"/>
      <c r="C117" s="1">
        <v>2050</v>
      </c>
      <c r="G117">
        <v>7872484.352</v>
      </c>
    </row>
    <row r="118" spans="1:8" x14ac:dyDescent="0.25">
      <c r="A118" s="5"/>
      <c r="B118" s="5" t="s">
        <v>139</v>
      </c>
      <c r="C118" s="1">
        <v>2019</v>
      </c>
      <c r="D118">
        <v>155602.57332600001</v>
      </c>
      <c r="E118">
        <v>8261519.8331279997</v>
      </c>
      <c r="F118">
        <v>5489.35736</v>
      </c>
    </row>
    <row r="119" spans="1:8" x14ac:dyDescent="0.25">
      <c r="A119" s="5"/>
      <c r="B119" s="5"/>
      <c r="C119" s="1">
        <v>2050</v>
      </c>
      <c r="D119">
        <v>307479.710456</v>
      </c>
      <c r="E119">
        <v>6474084.9940060005</v>
      </c>
      <c r="F119">
        <v>27852.536695999999</v>
      </c>
    </row>
    <row r="120" spans="1:8" x14ac:dyDescent="0.25">
      <c r="A120" s="5"/>
      <c r="B120" s="5" t="s">
        <v>140</v>
      </c>
      <c r="C120" s="1">
        <v>2019</v>
      </c>
      <c r="D120">
        <v>9523683.0892169997</v>
      </c>
      <c r="E120">
        <v>8531533.1454099994</v>
      </c>
    </row>
    <row r="121" spans="1:8" x14ac:dyDescent="0.25">
      <c r="A121" s="5"/>
      <c r="B121" s="5"/>
      <c r="C121" s="1">
        <v>2050</v>
      </c>
      <c r="D121">
        <v>7830225.6711799996</v>
      </c>
      <c r="E121">
        <v>7020156.8287279997</v>
      </c>
    </row>
    <row r="122" spans="1:8" x14ac:dyDescent="0.25">
      <c r="A122" s="5"/>
      <c r="B122" s="5" t="s">
        <v>141</v>
      </c>
      <c r="C122" s="1">
        <v>2019</v>
      </c>
      <c r="D122">
        <v>565250.42151799996</v>
      </c>
      <c r="E122">
        <v>7457037.3025010005</v>
      </c>
      <c r="F122">
        <v>9101.2821530000001</v>
      </c>
    </row>
    <row r="123" spans="1:8" x14ac:dyDescent="0.25">
      <c r="A123" s="5"/>
      <c r="B123" s="5"/>
      <c r="C123" s="1">
        <v>2050</v>
      </c>
      <c r="D123">
        <v>1310343.570263</v>
      </c>
      <c r="E123">
        <v>6547905.5012180004</v>
      </c>
      <c r="F123">
        <v>48037.87096</v>
      </c>
    </row>
    <row r="124" spans="1:8" x14ac:dyDescent="0.25">
      <c r="A124" s="5"/>
      <c r="B124" s="5" t="s">
        <v>170</v>
      </c>
      <c r="C124" s="1">
        <v>2019</v>
      </c>
      <c r="D124">
        <v>5718148.28773</v>
      </c>
    </row>
    <row r="125" spans="1:8" x14ac:dyDescent="0.25">
      <c r="A125" s="5"/>
      <c r="B125" s="5"/>
      <c r="C125" s="1">
        <v>2050</v>
      </c>
      <c r="D125">
        <v>5718148.28773</v>
      </c>
    </row>
    <row r="126" spans="1:8" x14ac:dyDescent="0.25">
      <c r="A126" s="5"/>
      <c r="B126" s="5" t="s">
        <v>171</v>
      </c>
      <c r="C126" s="1">
        <v>2019</v>
      </c>
      <c r="D126">
        <v>15342.180034999999</v>
      </c>
      <c r="F126">
        <v>2883.1174249999999</v>
      </c>
    </row>
    <row r="127" spans="1:8" x14ac:dyDescent="0.25">
      <c r="A127" s="5"/>
      <c r="B127" s="5"/>
      <c r="C127" s="1">
        <v>2050</v>
      </c>
      <c r="D127">
        <v>15342.180034999999</v>
      </c>
      <c r="F127">
        <v>3152.100907</v>
      </c>
    </row>
    <row r="128" spans="1:8" x14ac:dyDescent="0.25">
      <c r="A128" s="5"/>
      <c r="B128" s="5" t="s">
        <v>142</v>
      </c>
      <c r="C128" s="1">
        <v>2019</v>
      </c>
      <c r="D128">
        <v>235760.713521</v>
      </c>
      <c r="E128">
        <v>36218.610944</v>
      </c>
      <c r="F128">
        <v>1633.1340990000001</v>
      </c>
      <c r="H128">
        <v>10900.915784000001</v>
      </c>
    </row>
    <row r="129" spans="1:8" x14ac:dyDescent="0.25">
      <c r="A129" s="5"/>
      <c r="B129" s="5"/>
      <c r="C129" s="1">
        <v>2050</v>
      </c>
      <c r="D129">
        <v>235933.28184400001</v>
      </c>
      <c r="E129">
        <v>36223.675547999999</v>
      </c>
      <c r="F129">
        <v>1785.499086</v>
      </c>
      <c r="H129">
        <v>10900.915784000001</v>
      </c>
    </row>
    <row r="130" spans="1:8" x14ac:dyDescent="0.25">
      <c r="A130" s="5" t="s">
        <v>5</v>
      </c>
      <c r="B130" s="5" t="s">
        <v>169</v>
      </c>
      <c r="C130" s="1">
        <v>2019</v>
      </c>
      <c r="G130">
        <v>7872484.352</v>
      </c>
    </row>
    <row r="131" spans="1:8" x14ac:dyDescent="0.25">
      <c r="A131" s="5"/>
      <c r="B131" s="5"/>
      <c r="C131" s="1">
        <v>2050</v>
      </c>
      <c r="G131">
        <v>6297987.5754469996</v>
      </c>
    </row>
    <row r="132" spans="1:8" x14ac:dyDescent="0.25">
      <c r="A132" s="5"/>
      <c r="B132" s="5" t="s">
        <v>139</v>
      </c>
      <c r="C132" s="1">
        <v>2019</v>
      </c>
      <c r="D132">
        <v>155602.57332600001</v>
      </c>
      <c r="E132">
        <v>8261519.8331279997</v>
      </c>
      <c r="F132">
        <v>5489.35736</v>
      </c>
    </row>
    <row r="133" spans="1:8" x14ac:dyDescent="0.25">
      <c r="A133" s="5"/>
      <c r="B133" s="5"/>
      <c r="C133" s="1">
        <v>2050</v>
      </c>
      <c r="D133">
        <v>241.786316</v>
      </c>
      <c r="E133">
        <v>5204.1842489999999</v>
      </c>
      <c r="F133">
        <v>45441.982341000003</v>
      </c>
    </row>
    <row r="134" spans="1:8" x14ac:dyDescent="0.25">
      <c r="A134" s="5"/>
      <c r="B134" s="5" t="s">
        <v>140</v>
      </c>
      <c r="C134" s="1">
        <v>2019</v>
      </c>
      <c r="D134">
        <v>9523683.0892169997</v>
      </c>
      <c r="E134">
        <v>8531533.1454099994</v>
      </c>
      <c r="F134">
        <v>0</v>
      </c>
    </row>
    <row r="135" spans="1:8" x14ac:dyDescent="0.25">
      <c r="A135" s="5"/>
      <c r="B135" s="5"/>
      <c r="C135" s="1">
        <v>2050</v>
      </c>
      <c r="D135">
        <v>0</v>
      </c>
      <c r="E135">
        <v>0</v>
      </c>
      <c r="F135">
        <v>140600.57557099999</v>
      </c>
    </row>
    <row r="136" spans="1:8" x14ac:dyDescent="0.25">
      <c r="A136" s="5"/>
      <c r="B136" s="5" t="s">
        <v>141</v>
      </c>
      <c r="C136" s="1">
        <v>2019</v>
      </c>
      <c r="D136">
        <v>565250.42151799996</v>
      </c>
      <c r="E136">
        <v>7457037.3025010005</v>
      </c>
      <c r="F136">
        <v>9101.2821530000001</v>
      </c>
    </row>
    <row r="137" spans="1:8" x14ac:dyDescent="0.25">
      <c r="A137" s="5"/>
      <c r="B137" s="5"/>
      <c r="C137" s="1">
        <v>2050</v>
      </c>
      <c r="D137">
        <v>1163.2933459999999</v>
      </c>
      <c r="E137">
        <v>6121.6190360000001</v>
      </c>
      <c r="F137">
        <v>52836.528575999997</v>
      </c>
    </row>
    <row r="138" spans="1:8" x14ac:dyDescent="0.25">
      <c r="A138" s="5"/>
      <c r="B138" s="5" t="s">
        <v>170</v>
      </c>
      <c r="C138" s="1">
        <v>2019</v>
      </c>
      <c r="D138">
        <v>5718148.28773</v>
      </c>
      <c r="F138">
        <v>0</v>
      </c>
    </row>
    <row r="139" spans="1:8" x14ac:dyDescent="0.25">
      <c r="A139" s="5"/>
      <c r="B139" s="5"/>
      <c r="C139" s="1">
        <v>2050</v>
      </c>
      <c r="D139">
        <v>2287259.3491750001</v>
      </c>
      <c r="F139">
        <v>32328.751840000001</v>
      </c>
    </row>
    <row r="140" spans="1:8" x14ac:dyDescent="0.25">
      <c r="A140" s="5"/>
      <c r="B140" s="5" t="s">
        <v>171</v>
      </c>
      <c r="C140" s="1">
        <v>2019</v>
      </c>
      <c r="D140">
        <v>15342.180034999999</v>
      </c>
      <c r="F140">
        <v>2883.1174249999999</v>
      </c>
    </row>
    <row r="141" spans="1:8" x14ac:dyDescent="0.25">
      <c r="A141" s="5"/>
      <c r="B141" s="5"/>
      <c r="C141" s="1">
        <v>2050</v>
      </c>
      <c r="D141">
        <v>12273.743837</v>
      </c>
      <c r="F141">
        <v>199.750136</v>
      </c>
    </row>
    <row r="142" spans="1:8" x14ac:dyDescent="0.25">
      <c r="A142" s="5"/>
      <c r="B142" s="5" t="s">
        <v>142</v>
      </c>
      <c r="C142" s="1">
        <v>2019</v>
      </c>
      <c r="D142">
        <v>235760.713521</v>
      </c>
      <c r="E142">
        <v>36218.610944</v>
      </c>
      <c r="F142">
        <v>1633.1340990000001</v>
      </c>
      <c r="H142">
        <v>10900.915784000001</v>
      </c>
    </row>
    <row r="143" spans="1:8" x14ac:dyDescent="0.25">
      <c r="A143" s="5"/>
      <c r="B143" s="5"/>
      <c r="C143" s="1">
        <v>2050</v>
      </c>
      <c r="D143">
        <v>188512.97415299999</v>
      </c>
      <c r="E143">
        <v>29246.655423</v>
      </c>
      <c r="F143">
        <v>113.147929</v>
      </c>
      <c r="H143">
        <v>9038.2488499999999</v>
      </c>
    </row>
    <row r="144" spans="1:8" x14ac:dyDescent="0.25">
      <c r="A144" s="5" t="s">
        <v>6</v>
      </c>
      <c r="B144" s="5" t="s">
        <v>169</v>
      </c>
      <c r="C144" s="1">
        <v>2019</v>
      </c>
      <c r="G144">
        <v>7872484.352</v>
      </c>
    </row>
    <row r="145" spans="1:8" x14ac:dyDescent="0.25">
      <c r="A145" s="5"/>
      <c r="B145" s="5"/>
      <c r="C145" s="1">
        <v>2050</v>
      </c>
      <c r="G145">
        <v>6297987.5754469996</v>
      </c>
    </row>
    <row r="146" spans="1:8" x14ac:dyDescent="0.25">
      <c r="A146" s="5"/>
      <c r="B146" s="5" t="s">
        <v>139</v>
      </c>
      <c r="C146" s="1">
        <v>2019</v>
      </c>
      <c r="D146">
        <v>155602.57332600001</v>
      </c>
      <c r="E146">
        <v>8261519.8331279997</v>
      </c>
      <c r="F146">
        <v>5489.35736</v>
      </c>
    </row>
    <row r="147" spans="1:8" x14ac:dyDescent="0.25">
      <c r="A147" s="5"/>
      <c r="B147" s="5"/>
      <c r="C147" s="1">
        <v>2050</v>
      </c>
      <c r="D147">
        <v>241.786316</v>
      </c>
      <c r="E147">
        <v>5204.1842489999999</v>
      </c>
      <c r="F147">
        <v>48558.442653999999</v>
      </c>
    </row>
    <row r="148" spans="1:8" x14ac:dyDescent="0.25">
      <c r="A148" s="5"/>
      <c r="B148" s="5" t="s">
        <v>140</v>
      </c>
      <c r="C148" s="1">
        <v>2019</v>
      </c>
      <c r="D148">
        <v>9523683.0892169997</v>
      </c>
      <c r="E148">
        <v>8531533.1454099994</v>
      </c>
      <c r="F148">
        <v>0</v>
      </c>
      <c r="H148">
        <v>0</v>
      </c>
    </row>
    <row r="149" spans="1:8" x14ac:dyDescent="0.25">
      <c r="A149" s="5"/>
      <c r="B149" s="5"/>
      <c r="C149" s="1">
        <v>2050</v>
      </c>
      <c r="D149">
        <v>0</v>
      </c>
      <c r="E149">
        <v>0</v>
      </c>
      <c r="F149">
        <v>34836.452573000002</v>
      </c>
      <c r="H149">
        <v>226108.64778200001</v>
      </c>
    </row>
    <row r="150" spans="1:8" x14ac:dyDescent="0.25">
      <c r="A150" s="5"/>
      <c r="B150" s="5" t="s">
        <v>141</v>
      </c>
      <c r="C150" s="1">
        <v>2019</v>
      </c>
      <c r="D150">
        <v>565250.42151799996</v>
      </c>
      <c r="E150">
        <v>7457037.3025010005</v>
      </c>
      <c r="F150">
        <v>9101.2821530000001</v>
      </c>
    </row>
    <row r="151" spans="1:8" x14ac:dyDescent="0.25">
      <c r="A151" s="5"/>
      <c r="B151" s="5"/>
      <c r="C151" s="1">
        <v>2050</v>
      </c>
      <c r="D151">
        <v>1163.2933459999999</v>
      </c>
      <c r="E151">
        <v>6121.6190360000001</v>
      </c>
      <c r="F151">
        <v>56460.115102999996</v>
      </c>
    </row>
    <row r="152" spans="1:8" x14ac:dyDescent="0.25">
      <c r="A152" s="5"/>
      <c r="B152" s="5" t="s">
        <v>170</v>
      </c>
      <c r="C152" s="1">
        <v>2019</v>
      </c>
      <c r="D152">
        <v>5718148.28773</v>
      </c>
      <c r="F152">
        <v>0</v>
      </c>
    </row>
    <row r="153" spans="1:8" x14ac:dyDescent="0.25">
      <c r="A153" s="5"/>
      <c r="B153" s="5"/>
      <c r="C153" s="1">
        <v>2050</v>
      </c>
      <c r="D153">
        <v>2287259.3491750001</v>
      </c>
      <c r="F153">
        <v>34545.893346999997</v>
      </c>
    </row>
    <row r="154" spans="1:8" x14ac:dyDescent="0.25">
      <c r="A154" s="5"/>
      <c r="B154" s="5" t="s">
        <v>171</v>
      </c>
      <c r="C154" s="1">
        <v>2019</v>
      </c>
      <c r="D154">
        <v>15342.180034999999</v>
      </c>
      <c r="F154">
        <v>2883.1174249999999</v>
      </c>
    </row>
    <row r="155" spans="1:8" x14ac:dyDescent="0.25">
      <c r="A155" s="5"/>
      <c r="B155" s="5"/>
      <c r="C155" s="1">
        <v>2050</v>
      </c>
      <c r="D155">
        <v>12273.743837</v>
      </c>
      <c r="F155">
        <v>213.449217</v>
      </c>
    </row>
    <row r="156" spans="1:8" x14ac:dyDescent="0.25">
      <c r="A156" s="5"/>
      <c r="B156" s="5" t="s">
        <v>142</v>
      </c>
      <c r="C156" s="1">
        <v>2019</v>
      </c>
      <c r="D156">
        <v>235760.713521</v>
      </c>
      <c r="E156">
        <v>36218.610944</v>
      </c>
      <c r="F156">
        <v>1633.1340990000001</v>
      </c>
      <c r="H156">
        <v>10900.915784000001</v>
      </c>
    </row>
    <row r="157" spans="1:8" x14ac:dyDescent="0.25">
      <c r="A157" s="5"/>
      <c r="B157" s="5"/>
      <c r="C157" s="1">
        <v>2050</v>
      </c>
      <c r="D157">
        <v>188512.97415299999</v>
      </c>
      <c r="E157">
        <v>29246.655423</v>
      </c>
      <c r="F157">
        <v>120.907742</v>
      </c>
      <c r="H157">
        <v>9038.2488529999991</v>
      </c>
    </row>
  </sheetData>
  <mergeCells count="50">
    <mergeCell ref="B148:B149"/>
    <mergeCell ref="B150:B151"/>
    <mergeCell ref="B152:B153"/>
    <mergeCell ref="B154:B155"/>
    <mergeCell ref="B156:B157"/>
    <mergeCell ref="B138:B139"/>
    <mergeCell ref="B140:B141"/>
    <mergeCell ref="B142:B143"/>
    <mergeCell ref="B144:B145"/>
    <mergeCell ref="B146:B147"/>
    <mergeCell ref="B128:B129"/>
    <mergeCell ref="B130:B131"/>
    <mergeCell ref="B132:B133"/>
    <mergeCell ref="B134:B135"/>
    <mergeCell ref="B136:B137"/>
    <mergeCell ref="B118:B119"/>
    <mergeCell ref="B120:B121"/>
    <mergeCell ref="B122:B123"/>
    <mergeCell ref="B124:B125"/>
    <mergeCell ref="B126:B127"/>
    <mergeCell ref="B108:B109"/>
    <mergeCell ref="B110:B111"/>
    <mergeCell ref="B112:B113"/>
    <mergeCell ref="B114:B115"/>
    <mergeCell ref="B116:B117"/>
    <mergeCell ref="B98:B99"/>
    <mergeCell ref="B100:B101"/>
    <mergeCell ref="B102:B103"/>
    <mergeCell ref="B104:B105"/>
    <mergeCell ref="B106:B107"/>
    <mergeCell ref="B88:B89"/>
    <mergeCell ref="B90:B91"/>
    <mergeCell ref="B92:B93"/>
    <mergeCell ref="B94:B95"/>
    <mergeCell ref="B96:B97"/>
    <mergeCell ref="A88:A101"/>
    <mergeCell ref="A102:A115"/>
    <mergeCell ref="A116:A129"/>
    <mergeCell ref="A130:A143"/>
    <mergeCell ref="A144:A157"/>
    <mergeCell ref="A45:A51"/>
    <mergeCell ref="A53:A59"/>
    <mergeCell ref="A61:A67"/>
    <mergeCell ref="A69:A75"/>
    <mergeCell ref="A77:A83"/>
    <mergeCell ref="A12:A16"/>
    <mergeCell ref="A18:A22"/>
    <mergeCell ref="A24:A28"/>
    <mergeCell ref="A30:A34"/>
    <mergeCell ref="A36:A4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C1A6B-1928-4D27-829D-411AC820ED40}">
  <dimension ref="A1:AH58"/>
  <sheetViews>
    <sheetView topLeftCell="C34" workbookViewId="0">
      <selection activeCell="AC66" sqref="AC66"/>
    </sheetView>
  </sheetViews>
  <sheetFormatPr defaultRowHeight="15" x14ac:dyDescent="0.25"/>
  <cols>
    <col min="2" max="2" width="36.42578125" bestFit="1" customWidth="1"/>
    <col min="3" max="5" width="10.140625" bestFit="1" customWidth="1"/>
  </cols>
  <sheetData>
    <row r="1" spans="1:34" x14ac:dyDescent="0.25">
      <c r="A1" t="s">
        <v>217</v>
      </c>
    </row>
    <row r="2" spans="1:34" x14ac:dyDescent="0.25">
      <c r="A2" t="s">
        <v>216</v>
      </c>
      <c r="B2" t="s">
        <v>215</v>
      </c>
      <c r="C2">
        <v>2019</v>
      </c>
      <c r="D2">
        <v>2020</v>
      </c>
      <c r="E2">
        <v>2021</v>
      </c>
      <c r="F2">
        <v>2022</v>
      </c>
      <c r="G2">
        <v>2023</v>
      </c>
      <c r="H2">
        <v>2024</v>
      </c>
      <c r="I2">
        <v>2025</v>
      </c>
      <c r="J2">
        <v>2026</v>
      </c>
      <c r="K2">
        <v>2027</v>
      </c>
      <c r="L2">
        <v>2028</v>
      </c>
      <c r="M2">
        <v>2029</v>
      </c>
      <c r="N2">
        <v>2030</v>
      </c>
      <c r="O2">
        <v>2031</v>
      </c>
      <c r="P2">
        <v>2032</v>
      </c>
      <c r="Q2">
        <v>2033</v>
      </c>
      <c r="R2">
        <v>2034</v>
      </c>
      <c r="S2">
        <v>2035</v>
      </c>
      <c r="T2">
        <v>2036</v>
      </c>
      <c r="U2">
        <v>2037</v>
      </c>
      <c r="V2">
        <v>2038</v>
      </c>
      <c r="W2">
        <v>2039</v>
      </c>
      <c r="X2">
        <v>2040</v>
      </c>
      <c r="Y2">
        <v>2041</v>
      </c>
      <c r="Z2">
        <v>2042</v>
      </c>
      <c r="AA2">
        <v>2043</v>
      </c>
      <c r="AB2">
        <v>2044</v>
      </c>
      <c r="AC2">
        <v>2045</v>
      </c>
      <c r="AD2">
        <v>2046</v>
      </c>
      <c r="AE2">
        <v>2047</v>
      </c>
      <c r="AF2">
        <v>2048</v>
      </c>
      <c r="AG2">
        <v>2049</v>
      </c>
      <c r="AH2">
        <v>2050</v>
      </c>
    </row>
    <row r="3" spans="1:34" x14ac:dyDescent="0.25">
      <c r="A3" t="s">
        <v>5</v>
      </c>
      <c r="B3" t="s">
        <v>198</v>
      </c>
      <c r="C3" s="6">
        <v>106119</v>
      </c>
      <c r="D3" s="6">
        <v>105322</v>
      </c>
      <c r="E3" s="6">
        <v>103640</v>
      </c>
      <c r="F3" s="6">
        <v>101746</v>
      </c>
      <c r="G3" s="6">
        <v>99465</v>
      </c>
      <c r="H3" s="6">
        <v>96509</v>
      </c>
      <c r="I3" s="6">
        <v>77418</v>
      </c>
      <c r="J3" s="6">
        <v>73840</v>
      </c>
      <c r="K3" s="6">
        <v>70209</v>
      </c>
      <c r="L3" s="6">
        <v>66560</v>
      </c>
      <c r="M3" s="6">
        <v>62790</v>
      </c>
      <c r="N3" s="6">
        <v>54569</v>
      </c>
      <c r="O3" s="6">
        <v>51444</v>
      </c>
      <c r="P3" s="6">
        <v>48524</v>
      </c>
      <c r="Q3" s="6">
        <v>45759</v>
      </c>
      <c r="R3" s="6">
        <v>42947</v>
      </c>
      <c r="S3" s="6">
        <v>40525</v>
      </c>
      <c r="T3" s="6">
        <v>38676</v>
      </c>
      <c r="U3" s="6">
        <v>36903</v>
      </c>
      <c r="V3" s="6">
        <v>35235</v>
      </c>
      <c r="W3" s="6">
        <v>33847</v>
      </c>
      <c r="X3" s="6">
        <v>32606</v>
      </c>
      <c r="Y3" s="6">
        <v>31714</v>
      </c>
      <c r="Z3" s="6">
        <v>30883</v>
      </c>
      <c r="AA3" s="6">
        <v>30117</v>
      </c>
      <c r="AB3" s="6">
        <v>29408</v>
      </c>
      <c r="AC3" s="6">
        <v>27576</v>
      </c>
      <c r="AD3" s="6">
        <v>27032</v>
      </c>
      <c r="AE3" s="6">
        <v>26536</v>
      </c>
      <c r="AF3" s="6">
        <v>26080</v>
      </c>
      <c r="AG3" s="6">
        <v>25645</v>
      </c>
      <c r="AH3" s="6">
        <v>25256</v>
      </c>
    </row>
    <row r="4" spans="1:34" x14ac:dyDescent="0.25">
      <c r="A4" t="s">
        <v>5</v>
      </c>
      <c r="B4" t="s">
        <v>199</v>
      </c>
      <c r="C4" s="6">
        <v>0</v>
      </c>
      <c r="D4" s="6">
        <v>-13</v>
      </c>
      <c r="E4" s="6">
        <v>446</v>
      </c>
      <c r="F4" s="6">
        <v>900</v>
      </c>
      <c r="G4" s="6">
        <v>1348</v>
      </c>
      <c r="H4" s="6">
        <v>1790</v>
      </c>
      <c r="I4" s="6">
        <v>2232</v>
      </c>
      <c r="J4" s="6">
        <v>2662</v>
      </c>
      <c r="K4" s="6">
        <v>3088</v>
      </c>
      <c r="L4" s="6">
        <v>3520</v>
      </c>
      <c r="M4" s="6">
        <v>3960</v>
      </c>
      <c r="N4" s="6">
        <v>4412</v>
      </c>
      <c r="O4" s="6">
        <v>4749</v>
      </c>
      <c r="P4" s="6">
        <v>5079</v>
      </c>
      <c r="Q4" s="6">
        <v>5404</v>
      </c>
      <c r="R4" s="6">
        <v>5724</v>
      </c>
      <c r="S4" s="6">
        <v>6037</v>
      </c>
      <c r="T4" s="6">
        <v>5880</v>
      </c>
      <c r="U4" s="6">
        <v>5731</v>
      </c>
      <c r="V4" s="6">
        <v>5589</v>
      </c>
      <c r="W4" s="6">
        <v>5534</v>
      </c>
      <c r="X4" s="6">
        <v>5480</v>
      </c>
      <c r="Y4" s="6">
        <v>5427</v>
      </c>
      <c r="Z4" s="6">
        <v>5375</v>
      </c>
      <c r="AA4" s="6">
        <v>5325</v>
      </c>
      <c r="AB4" s="6">
        <v>5275</v>
      </c>
      <c r="AC4" s="6">
        <v>5227</v>
      </c>
      <c r="AD4" s="6">
        <v>5146</v>
      </c>
      <c r="AE4" s="6">
        <v>5066</v>
      </c>
      <c r="AF4" s="6">
        <v>4987</v>
      </c>
      <c r="AG4" s="6">
        <v>4908</v>
      </c>
      <c r="AH4" s="6">
        <v>4829</v>
      </c>
    </row>
    <row r="5" spans="1:34" x14ac:dyDescent="0.25">
      <c r="A5" t="s">
        <v>5</v>
      </c>
      <c r="B5" t="s">
        <v>200</v>
      </c>
      <c r="C5" s="6">
        <v>0</v>
      </c>
      <c r="D5" s="6">
        <v>0</v>
      </c>
      <c r="E5" s="6">
        <v>0</v>
      </c>
      <c r="F5" s="6">
        <v>1</v>
      </c>
      <c r="G5" s="6">
        <v>70</v>
      </c>
      <c r="H5" s="6">
        <v>174</v>
      </c>
      <c r="I5" s="6">
        <v>308</v>
      </c>
      <c r="J5" s="6">
        <v>473</v>
      </c>
      <c r="K5" s="6">
        <v>667</v>
      </c>
      <c r="L5" s="6">
        <v>888</v>
      </c>
      <c r="M5" s="6">
        <v>1137</v>
      </c>
      <c r="N5" s="6">
        <v>1411</v>
      </c>
      <c r="O5" s="6">
        <v>1604</v>
      </c>
      <c r="P5" s="6">
        <v>1799</v>
      </c>
      <c r="Q5" s="6">
        <v>1995</v>
      </c>
      <c r="R5" s="6">
        <v>2191</v>
      </c>
      <c r="S5" s="6">
        <v>2389</v>
      </c>
      <c r="T5" s="6">
        <v>2590</v>
      </c>
      <c r="U5" s="6">
        <v>2792</v>
      </c>
      <c r="V5" s="6">
        <v>2995</v>
      </c>
      <c r="W5" s="6">
        <v>3200</v>
      </c>
      <c r="X5" s="6">
        <v>3407</v>
      </c>
      <c r="Y5" s="6">
        <v>3611</v>
      </c>
      <c r="Z5" s="6">
        <v>3816</v>
      </c>
      <c r="AA5" s="6">
        <v>4023</v>
      </c>
      <c r="AB5" s="6">
        <v>4231</v>
      </c>
      <c r="AC5" s="6">
        <v>4439</v>
      </c>
      <c r="AD5" s="6">
        <v>4589</v>
      </c>
      <c r="AE5" s="6">
        <v>4736</v>
      </c>
      <c r="AF5" s="6">
        <v>4880</v>
      </c>
      <c r="AG5" s="6">
        <v>5022</v>
      </c>
      <c r="AH5" s="6">
        <v>5161</v>
      </c>
    </row>
    <row r="6" spans="1:34" x14ac:dyDescent="0.25">
      <c r="A6" t="s">
        <v>5</v>
      </c>
      <c r="B6" t="s">
        <v>201</v>
      </c>
      <c r="C6" s="6">
        <v>0</v>
      </c>
      <c r="D6" s="6">
        <v>0</v>
      </c>
      <c r="E6" s="6">
        <v>0</v>
      </c>
      <c r="F6" s="6">
        <v>0</v>
      </c>
      <c r="G6" s="6">
        <v>1</v>
      </c>
      <c r="H6" s="6">
        <v>30</v>
      </c>
      <c r="I6" s="6">
        <v>80</v>
      </c>
      <c r="J6" s="6">
        <v>147</v>
      </c>
      <c r="K6" s="6">
        <v>230</v>
      </c>
      <c r="L6" s="6">
        <v>331</v>
      </c>
      <c r="M6" s="6">
        <v>562</v>
      </c>
      <c r="N6" s="6">
        <v>814</v>
      </c>
      <c r="O6" s="6">
        <v>1065</v>
      </c>
      <c r="P6" s="6">
        <v>1293</v>
      </c>
      <c r="Q6" s="6">
        <v>1486</v>
      </c>
      <c r="R6" s="6">
        <v>1635</v>
      </c>
      <c r="S6" s="6">
        <v>1765</v>
      </c>
      <c r="T6" s="6">
        <v>1855</v>
      </c>
      <c r="U6" s="6">
        <v>1910</v>
      </c>
      <c r="V6" s="6">
        <v>1926</v>
      </c>
      <c r="W6" s="6">
        <v>1902</v>
      </c>
      <c r="X6" s="6">
        <v>1871</v>
      </c>
      <c r="Y6" s="6">
        <v>1871</v>
      </c>
      <c r="Z6" s="6">
        <v>1868</v>
      </c>
      <c r="AA6" s="6">
        <v>1849</v>
      </c>
      <c r="AB6" s="6">
        <v>1821</v>
      </c>
      <c r="AC6" s="6">
        <v>1825</v>
      </c>
      <c r="AD6" s="6">
        <v>1814</v>
      </c>
      <c r="AE6" s="6">
        <v>1804</v>
      </c>
      <c r="AF6" s="6">
        <v>1795</v>
      </c>
      <c r="AG6" s="6">
        <v>1773</v>
      </c>
      <c r="AH6" s="6">
        <v>1778</v>
      </c>
    </row>
    <row r="7" spans="1:34" x14ac:dyDescent="0.25">
      <c r="A7" t="s">
        <v>5</v>
      </c>
      <c r="B7" t="s">
        <v>202</v>
      </c>
      <c r="C7" s="6">
        <v>0</v>
      </c>
      <c r="D7" s="6">
        <v>0</v>
      </c>
      <c r="E7" s="6">
        <v>0</v>
      </c>
      <c r="F7" s="6">
        <v>0</v>
      </c>
      <c r="G7" s="6">
        <v>270</v>
      </c>
      <c r="H7" s="6">
        <v>484</v>
      </c>
      <c r="I7" s="6">
        <v>640</v>
      </c>
      <c r="J7" s="6">
        <v>740</v>
      </c>
      <c r="K7" s="6">
        <v>782</v>
      </c>
      <c r="L7" s="6">
        <v>768</v>
      </c>
      <c r="M7" s="6">
        <v>697</v>
      </c>
      <c r="N7" s="6">
        <v>569</v>
      </c>
      <c r="O7" s="6">
        <v>598</v>
      </c>
      <c r="P7" s="6">
        <v>617</v>
      </c>
      <c r="Q7" s="6">
        <v>626</v>
      </c>
      <c r="R7" s="6">
        <v>626</v>
      </c>
      <c r="S7" s="6">
        <v>617</v>
      </c>
      <c r="T7" s="6">
        <v>555</v>
      </c>
      <c r="U7" s="6">
        <v>493</v>
      </c>
      <c r="V7" s="6">
        <v>432</v>
      </c>
      <c r="W7" s="6">
        <v>370</v>
      </c>
      <c r="X7" s="6">
        <v>308</v>
      </c>
      <c r="Y7" s="6">
        <v>246</v>
      </c>
      <c r="Z7" s="6">
        <v>185</v>
      </c>
      <c r="AA7" s="6">
        <v>123</v>
      </c>
      <c r="AB7" s="6">
        <v>62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</row>
    <row r="8" spans="1:34" x14ac:dyDescent="0.25">
      <c r="A8" t="s">
        <v>5</v>
      </c>
      <c r="B8" t="s">
        <v>203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259</v>
      </c>
      <c r="J8" s="6">
        <v>506</v>
      </c>
      <c r="K8" s="6">
        <v>742</v>
      </c>
      <c r="L8" s="6">
        <v>966</v>
      </c>
      <c r="M8" s="6">
        <v>1179</v>
      </c>
      <c r="N8" s="6">
        <v>1382</v>
      </c>
      <c r="O8" s="6">
        <v>1590</v>
      </c>
      <c r="P8" s="6">
        <v>1791</v>
      </c>
      <c r="Q8" s="6">
        <v>1986</v>
      </c>
      <c r="R8" s="6">
        <v>2177</v>
      </c>
      <c r="S8" s="6">
        <v>2361</v>
      </c>
      <c r="T8" s="6">
        <v>2542</v>
      </c>
      <c r="U8" s="6">
        <v>2718</v>
      </c>
      <c r="V8" s="6">
        <v>2889</v>
      </c>
      <c r="W8" s="6">
        <v>3058</v>
      </c>
      <c r="X8" s="6">
        <v>3973</v>
      </c>
      <c r="Y8" s="6">
        <v>4134</v>
      </c>
      <c r="Z8" s="6">
        <v>3531</v>
      </c>
      <c r="AA8" s="6">
        <v>3679</v>
      </c>
      <c r="AB8" s="6">
        <v>3824</v>
      </c>
      <c r="AC8" s="6">
        <v>3965</v>
      </c>
      <c r="AD8" s="6">
        <v>4108</v>
      </c>
      <c r="AE8" s="6">
        <v>4247</v>
      </c>
      <c r="AF8" s="6">
        <v>4383</v>
      </c>
      <c r="AG8" s="6">
        <v>4516</v>
      </c>
      <c r="AH8" s="6">
        <v>4647</v>
      </c>
    </row>
    <row r="9" spans="1:34" x14ac:dyDescent="0.25">
      <c r="A9" t="s">
        <v>5</v>
      </c>
      <c r="B9" t="s">
        <v>170</v>
      </c>
      <c r="C9" s="6">
        <v>0</v>
      </c>
      <c r="D9" s="6">
        <v>0</v>
      </c>
      <c r="E9" s="6">
        <v>0</v>
      </c>
      <c r="F9" s="6">
        <v>0</v>
      </c>
      <c r="G9" s="6">
        <v>21</v>
      </c>
      <c r="H9" s="6">
        <v>146</v>
      </c>
      <c r="I9" s="6">
        <v>275</v>
      </c>
      <c r="J9" s="6">
        <v>408</v>
      </c>
      <c r="K9" s="6">
        <v>546</v>
      </c>
      <c r="L9" s="6">
        <v>689</v>
      </c>
      <c r="M9" s="6">
        <v>836</v>
      </c>
      <c r="N9" s="6">
        <v>988</v>
      </c>
      <c r="O9" s="6">
        <v>1115</v>
      </c>
      <c r="P9" s="6">
        <v>1242</v>
      </c>
      <c r="Q9" s="6">
        <v>1366</v>
      </c>
      <c r="R9" s="6">
        <v>1486</v>
      </c>
      <c r="S9" s="6">
        <v>1605</v>
      </c>
      <c r="T9" s="6">
        <v>1722</v>
      </c>
      <c r="U9" s="6">
        <v>1836</v>
      </c>
      <c r="V9" s="6">
        <v>1948</v>
      </c>
      <c r="W9" s="6">
        <v>2087</v>
      </c>
      <c r="X9" s="6">
        <v>1476</v>
      </c>
      <c r="Y9" s="6">
        <v>1484</v>
      </c>
      <c r="Z9" s="6">
        <v>2251</v>
      </c>
      <c r="AA9" s="6">
        <v>2263</v>
      </c>
      <c r="AB9" s="6">
        <v>2275</v>
      </c>
      <c r="AC9" s="6">
        <v>2287</v>
      </c>
      <c r="AD9" s="6">
        <v>2287</v>
      </c>
      <c r="AE9" s="6">
        <v>2287</v>
      </c>
      <c r="AF9" s="6">
        <v>2287</v>
      </c>
      <c r="AG9" s="6">
        <v>2287</v>
      </c>
      <c r="AH9" s="6">
        <v>2287</v>
      </c>
    </row>
    <row r="10" spans="1:34" x14ac:dyDescent="0.25">
      <c r="A10" t="s">
        <v>5</v>
      </c>
      <c r="B10" t="s">
        <v>204</v>
      </c>
      <c r="C10" s="6">
        <v>0</v>
      </c>
      <c r="D10" s="6">
        <v>0</v>
      </c>
      <c r="E10" s="6">
        <v>23</v>
      </c>
      <c r="F10" s="6">
        <v>44</v>
      </c>
      <c r="G10" s="6">
        <v>144</v>
      </c>
      <c r="H10" s="6">
        <v>290</v>
      </c>
      <c r="I10" s="6">
        <v>432</v>
      </c>
      <c r="J10" s="6">
        <v>567</v>
      </c>
      <c r="K10" s="6">
        <v>693</v>
      </c>
      <c r="L10" s="6">
        <v>800</v>
      </c>
      <c r="M10" s="6">
        <v>881</v>
      </c>
      <c r="N10" s="6">
        <v>942</v>
      </c>
      <c r="O10" s="6">
        <v>1059</v>
      </c>
      <c r="P10" s="6">
        <v>1168</v>
      </c>
      <c r="Q10" s="6">
        <v>1269</v>
      </c>
      <c r="R10" s="6">
        <v>1356</v>
      </c>
      <c r="S10" s="6">
        <v>1468</v>
      </c>
      <c r="T10" s="6">
        <v>1574</v>
      </c>
      <c r="U10" s="6">
        <v>1683</v>
      </c>
      <c r="V10" s="6">
        <v>1794</v>
      </c>
      <c r="W10" s="6">
        <v>1882</v>
      </c>
      <c r="X10" s="6">
        <v>1999</v>
      </c>
      <c r="Y10" s="6">
        <v>1885</v>
      </c>
      <c r="Z10" s="6">
        <v>1766</v>
      </c>
      <c r="AA10" s="6">
        <v>1661</v>
      </c>
      <c r="AB10" s="6">
        <v>1530</v>
      </c>
      <c r="AC10" s="6">
        <v>1443</v>
      </c>
      <c r="AD10" s="6">
        <v>1399</v>
      </c>
      <c r="AE10" s="6">
        <v>1359</v>
      </c>
      <c r="AF10" s="6">
        <v>1321</v>
      </c>
      <c r="AG10" s="6">
        <v>1263</v>
      </c>
      <c r="AH10" s="6">
        <v>1250</v>
      </c>
    </row>
    <row r="11" spans="1:34" x14ac:dyDescent="0.25">
      <c r="A11" t="s">
        <v>5</v>
      </c>
      <c r="B11" t="s">
        <v>205</v>
      </c>
      <c r="C11" s="6">
        <v>0</v>
      </c>
      <c r="D11" s="6">
        <v>0</v>
      </c>
      <c r="E11" s="6">
        <v>150</v>
      </c>
      <c r="F11" s="6">
        <v>290</v>
      </c>
      <c r="G11" s="6">
        <v>420</v>
      </c>
      <c r="H11" s="6">
        <v>536</v>
      </c>
      <c r="I11" s="6">
        <v>627</v>
      </c>
      <c r="J11" s="6">
        <v>712</v>
      </c>
      <c r="K11" s="6">
        <v>777</v>
      </c>
      <c r="L11" s="6">
        <v>828</v>
      </c>
      <c r="M11" s="6">
        <v>864</v>
      </c>
      <c r="N11" s="6">
        <v>892</v>
      </c>
      <c r="O11" s="6">
        <v>920</v>
      </c>
      <c r="P11" s="6">
        <v>945</v>
      </c>
      <c r="Q11" s="6">
        <v>966</v>
      </c>
      <c r="R11" s="6">
        <v>971</v>
      </c>
      <c r="S11" s="6">
        <v>977</v>
      </c>
      <c r="T11" s="6">
        <v>956</v>
      </c>
      <c r="U11" s="6">
        <v>932</v>
      </c>
      <c r="V11" s="6">
        <v>908</v>
      </c>
      <c r="W11" s="6">
        <v>896</v>
      </c>
      <c r="X11" s="6">
        <v>887</v>
      </c>
      <c r="Y11" s="6">
        <v>879</v>
      </c>
      <c r="Z11" s="6">
        <v>871</v>
      </c>
      <c r="AA11" s="6">
        <v>864</v>
      </c>
      <c r="AB11" s="6">
        <v>858</v>
      </c>
      <c r="AC11" s="6">
        <v>852</v>
      </c>
      <c r="AD11" s="6">
        <v>851</v>
      </c>
      <c r="AE11" s="6">
        <v>852</v>
      </c>
      <c r="AF11" s="6">
        <v>853</v>
      </c>
      <c r="AG11" s="6">
        <v>854</v>
      </c>
      <c r="AH11" s="6">
        <v>853</v>
      </c>
    </row>
    <row r="12" spans="1:34" x14ac:dyDescent="0.25">
      <c r="A12" t="s">
        <v>5</v>
      </c>
      <c r="B12" t="s">
        <v>206</v>
      </c>
      <c r="C12" s="6">
        <v>0</v>
      </c>
      <c r="D12" s="6">
        <v>0</v>
      </c>
      <c r="E12" s="6">
        <v>157</v>
      </c>
      <c r="F12" s="6">
        <v>311</v>
      </c>
      <c r="G12" s="6">
        <v>463</v>
      </c>
      <c r="H12" s="6">
        <v>599</v>
      </c>
      <c r="I12" s="6">
        <v>686</v>
      </c>
      <c r="J12" s="6">
        <v>777</v>
      </c>
      <c r="K12" s="6">
        <v>841</v>
      </c>
      <c r="L12" s="6">
        <v>878</v>
      </c>
      <c r="M12" s="6">
        <v>890</v>
      </c>
      <c r="N12" s="6">
        <v>888</v>
      </c>
      <c r="O12" s="6">
        <v>893</v>
      </c>
      <c r="P12" s="6">
        <v>899</v>
      </c>
      <c r="Q12" s="6">
        <v>897</v>
      </c>
      <c r="R12" s="6">
        <v>863</v>
      </c>
      <c r="S12" s="6">
        <v>839</v>
      </c>
      <c r="T12" s="6">
        <v>792</v>
      </c>
      <c r="U12" s="6">
        <v>729</v>
      </c>
      <c r="V12" s="6">
        <v>655</v>
      </c>
      <c r="W12" s="6">
        <v>583</v>
      </c>
      <c r="X12" s="6">
        <v>509</v>
      </c>
      <c r="Y12" s="6">
        <v>409</v>
      </c>
      <c r="Z12" s="6">
        <v>318</v>
      </c>
      <c r="AA12" s="6">
        <v>238</v>
      </c>
      <c r="AB12" s="6">
        <v>170</v>
      </c>
      <c r="AC12" s="6">
        <v>114</v>
      </c>
      <c r="AD12" s="6">
        <v>81</v>
      </c>
      <c r="AE12" s="6">
        <v>58</v>
      </c>
      <c r="AF12" s="6">
        <v>44</v>
      </c>
      <c r="AG12" s="6">
        <v>35</v>
      </c>
      <c r="AH12" s="6">
        <v>32</v>
      </c>
    </row>
    <row r="13" spans="1:34" x14ac:dyDescent="0.25">
      <c r="A13" t="s">
        <v>5</v>
      </c>
      <c r="B13" t="s">
        <v>207</v>
      </c>
      <c r="C13" s="6">
        <v>0</v>
      </c>
      <c r="D13" s="6">
        <v>0</v>
      </c>
      <c r="E13" s="6">
        <v>121</v>
      </c>
      <c r="F13" s="6">
        <v>233</v>
      </c>
      <c r="G13" s="6">
        <v>341</v>
      </c>
      <c r="H13" s="6">
        <v>435</v>
      </c>
      <c r="I13" s="6">
        <v>491</v>
      </c>
      <c r="J13" s="6">
        <v>549</v>
      </c>
      <c r="K13" s="6">
        <v>587</v>
      </c>
      <c r="L13" s="6">
        <v>603</v>
      </c>
      <c r="M13" s="6">
        <v>602</v>
      </c>
      <c r="N13" s="6">
        <v>595</v>
      </c>
      <c r="O13" s="6">
        <v>591</v>
      </c>
      <c r="P13" s="6">
        <v>585</v>
      </c>
      <c r="Q13" s="6">
        <v>576</v>
      </c>
      <c r="R13" s="6">
        <v>545</v>
      </c>
      <c r="S13" s="6">
        <v>522</v>
      </c>
      <c r="T13" s="6">
        <v>483</v>
      </c>
      <c r="U13" s="6">
        <v>435</v>
      </c>
      <c r="V13" s="6">
        <v>383</v>
      </c>
      <c r="W13" s="6">
        <v>333</v>
      </c>
      <c r="X13" s="6">
        <v>284</v>
      </c>
      <c r="Y13" s="6">
        <v>227</v>
      </c>
      <c r="Z13" s="6">
        <v>175</v>
      </c>
      <c r="AA13" s="6">
        <v>129</v>
      </c>
      <c r="AB13" s="6">
        <v>89</v>
      </c>
      <c r="AC13" s="6">
        <v>56</v>
      </c>
      <c r="AD13" s="6">
        <v>36</v>
      </c>
      <c r="AE13" s="6">
        <v>21</v>
      </c>
      <c r="AF13" s="6">
        <v>11</v>
      </c>
      <c r="AG13" s="6">
        <v>5</v>
      </c>
      <c r="AH13" s="6">
        <v>2</v>
      </c>
    </row>
    <row r="14" spans="1:34" x14ac:dyDescent="0.25">
      <c r="A14" t="s">
        <v>5</v>
      </c>
      <c r="B14" t="s">
        <v>208</v>
      </c>
      <c r="C14" s="6">
        <v>0</v>
      </c>
      <c r="D14" s="6">
        <v>100.3</v>
      </c>
      <c r="E14" s="6">
        <v>139.69999999999999</v>
      </c>
      <c r="F14" s="6">
        <v>202.7</v>
      </c>
      <c r="G14" s="6">
        <v>290</v>
      </c>
      <c r="H14" s="6">
        <v>401.7</v>
      </c>
      <c r="I14" s="6">
        <v>15843.47</v>
      </c>
      <c r="J14" s="6">
        <v>16148.51</v>
      </c>
      <c r="K14" s="6">
        <v>16466.25</v>
      </c>
      <c r="L14" s="6">
        <v>16794.95</v>
      </c>
      <c r="M14" s="6">
        <v>17133.900000000001</v>
      </c>
      <c r="N14" s="6">
        <v>22228</v>
      </c>
      <c r="O14" s="6">
        <v>22325.31</v>
      </c>
      <c r="P14" s="6">
        <v>22423.439999999999</v>
      </c>
      <c r="Q14" s="6">
        <v>22526.23</v>
      </c>
      <c r="R14" s="6">
        <v>22630.47</v>
      </c>
      <c r="S14" s="6">
        <v>22737.55</v>
      </c>
      <c r="T14" s="6">
        <v>22837.24</v>
      </c>
      <c r="U14" s="6">
        <v>22938.04</v>
      </c>
      <c r="V14" s="6">
        <v>23040.22</v>
      </c>
      <c r="W14" s="6">
        <v>23143.919999999998</v>
      </c>
      <c r="X14" s="6">
        <v>23248.85</v>
      </c>
      <c r="Y14" s="6">
        <v>23356.42</v>
      </c>
      <c r="Z14" s="6">
        <v>23464.98</v>
      </c>
      <c r="AA14" s="6">
        <v>23574.68</v>
      </c>
      <c r="AB14" s="6">
        <v>23685.63</v>
      </c>
      <c r="AC14" s="6">
        <v>25001.93</v>
      </c>
      <c r="AD14" s="6">
        <v>25048.23</v>
      </c>
      <c r="AE14" s="6">
        <v>25094.95</v>
      </c>
      <c r="AF14" s="6">
        <v>25141.87</v>
      </c>
      <c r="AG14" s="6">
        <v>25189.07</v>
      </c>
      <c r="AH14" s="6">
        <v>25236.3</v>
      </c>
    </row>
    <row r="15" spans="1:34" x14ac:dyDescent="0.25">
      <c r="A15" t="s">
        <v>5</v>
      </c>
      <c r="B15" t="s">
        <v>3</v>
      </c>
      <c r="C15" s="6">
        <v>0</v>
      </c>
      <c r="D15" s="6">
        <v>211.5</v>
      </c>
      <c r="E15" s="6">
        <v>1087</v>
      </c>
      <c r="F15" s="6">
        <v>1983.6</v>
      </c>
      <c r="G15" s="6">
        <v>2902.4</v>
      </c>
      <c r="H15" s="6">
        <v>4128.1000000000004</v>
      </c>
      <c r="I15" s="6">
        <v>5210.5</v>
      </c>
      <c r="J15" s="6">
        <v>6368.02</v>
      </c>
      <c r="K15" s="6">
        <v>7604.2</v>
      </c>
      <c r="L15" s="6">
        <v>8949.33</v>
      </c>
      <c r="M15" s="6">
        <v>10477.59</v>
      </c>
      <c r="N15" s="6">
        <v>12014.57</v>
      </c>
      <c r="O15" s="6">
        <v>13599.01</v>
      </c>
      <c r="P15" s="6">
        <v>15189.25</v>
      </c>
      <c r="Q15" s="6">
        <v>16772.89</v>
      </c>
      <c r="R15" s="6">
        <v>18434</v>
      </c>
      <c r="S15" s="6">
        <v>19863.68</v>
      </c>
      <c r="T15" s="6">
        <v>21312.18</v>
      </c>
      <c r="U15" s="6">
        <v>22741.98</v>
      </c>
      <c r="V15" s="6">
        <v>24126.81</v>
      </c>
      <c r="W15" s="6">
        <v>25196.41</v>
      </c>
      <c r="X15" s="6">
        <v>26121.02</v>
      </c>
      <c r="Y15" s="6">
        <v>27036.34</v>
      </c>
      <c r="Z15" s="6">
        <v>27876.95</v>
      </c>
      <c r="AA15" s="6">
        <v>28630.68</v>
      </c>
      <c r="AB15" s="6">
        <v>29348.33</v>
      </c>
      <c r="AC15" s="6">
        <v>29903.32</v>
      </c>
      <c r="AD15" s="6">
        <v>30417.82</v>
      </c>
      <c r="AE15" s="6">
        <v>30890.07</v>
      </c>
      <c r="AF15" s="6">
        <v>31333.17</v>
      </c>
      <c r="AG15" s="6">
        <v>31803.93</v>
      </c>
      <c r="AH15" s="6">
        <v>32165.23</v>
      </c>
    </row>
    <row r="16" spans="1:34" x14ac:dyDescent="0.25">
      <c r="A16" t="s">
        <v>5</v>
      </c>
      <c r="B16" t="s">
        <v>209</v>
      </c>
      <c r="C16" s="6">
        <v>49770</v>
      </c>
      <c r="D16" s="6">
        <v>49770</v>
      </c>
      <c r="E16" s="6">
        <v>49770</v>
      </c>
      <c r="F16" s="6">
        <v>49770</v>
      </c>
      <c r="G16" s="6">
        <v>49770</v>
      </c>
      <c r="H16" s="6">
        <v>49770</v>
      </c>
      <c r="I16" s="6">
        <v>49770</v>
      </c>
      <c r="J16" s="6">
        <v>49770</v>
      </c>
      <c r="K16" s="6">
        <v>49770</v>
      </c>
      <c r="L16" s="6">
        <v>49770</v>
      </c>
      <c r="M16" s="6">
        <v>49770</v>
      </c>
      <c r="N16" s="6">
        <v>49770</v>
      </c>
      <c r="O16" s="6">
        <v>49770</v>
      </c>
      <c r="P16" s="6">
        <v>49770</v>
      </c>
      <c r="Q16" s="6">
        <v>49770</v>
      </c>
      <c r="R16" s="6">
        <v>49770</v>
      </c>
      <c r="S16" s="6">
        <v>49770</v>
      </c>
      <c r="T16" s="6">
        <v>49770</v>
      </c>
      <c r="U16" s="6">
        <v>49770</v>
      </c>
      <c r="V16" s="6">
        <v>49770</v>
      </c>
      <c r="W16" s="6">
        <v>49770</v>
      </c>
      <c r="X16" s="6">
        <v>49770</v>
      </c>
      <c r="Y16" s="6">
        <v>49770</v>
      </c>
      <c r="Z16" s="6">
        <v>49770</v>
      </c>
      <c r="AA16" s="6">
        <v>49770</v>
      </c>
      <c r="AB16" s="6">
        <v>49770</v>
      </c>
      <c r="AC16" s="6">
        <v>49770</v>
      </c>
      <c r="AD16" s="6">
        <v>49770</v>
      </c>
      <c r="AE16" s="6">
        <v>49770</v>
      </c>
      <c r="AF16" s="6">
        <v>49770</v>
      </c>
      <c r="AG16" s="6">
        <v>49770</v>
      </c>
      <c r="AH16" s="6">
        <v>49770</v>
      </c>
    </row>
    <row r="17" spans="1:34" x14ac:dyDescent="0.25">
      <c r="A17" t="s">
        <v>5</v>
      </c>
      <c r="B17" t="s">
        <v>210</v>
      </c>
      <c r="C17" s="6">
        <v>27147</v>
      </c>
      <c r="D17" s="6">
        <v>27147</v>
      </c>
      <c r="E17" s="6">
        <v>27147</v>
      </c>
      <c r="F17" s="6">
        <v>27147</v>
      </c>
      <c r="G17" s="6">
        <v>27147</v>
      </c>
      <c r="H17" s="6">
        <v>27147</v>
      </c>
      <c r="I17" s="6">
        <v>27147</v>
      </c>
      <c r="J17" s="6">
        <v>27147</v>
      </c>
      <c r="K17" s="6">
        <v>27147</v>
      </c>
      <c r="L17" s="6">
        <v>27147</v>
      </c>
      <c r="M17" s="6">
        <v>27147</v>
      </c>
      <c r="N17" s="6">
        <v>27147</v>
      </c>
      <c r="O17" s="6">
        <v>27147</v>
      </c>
      <c r="P17" s="6">
        <v>27147</v>
      </c>
      <c r="Q17" s="6">
        <v>27147</v>
      </c>
      <c r="R17" s="6">
        <v>27147</v>
      </c>
      <c r="S17" s="6">
        <v>27147</v>
      </c>
      <c r="T17" s="6">
        <v>27147</v>
      </c>
      <c r="U17" s="6">
        <v>27147</v>
      </c>
      <c r="V17" s="6">
        <v>27147</v>
      </c>
      <c r="W17" s="6">
        <v>27147</v>
      </c>
      <c r="X17" s="6">
        <v>27147</v>
      </c>
      <c r="Y17" s="6">
        <v>27147</v>
      </c>
      <c r="Z17" s="6">
        <v>27147</v>
      </c>
      <c r="AA17" s="6">
        <v>27147</v>
      </c>
      <c r="AB17" s="6">
        <v>27147</v>
      </c>
      <c r="AC17" s="6">
        <v>27147</v>
      </c>
      <c r="AD17" s="6">
        <v>27147</v>
      </c>
      <c r="AE17" s="6">
        <v>27147</v>
      </c>
      <c r="AF17" s="6">
        <v>27147</v>
      </c>
      <c r="AG17" s="6">
        <v>27147</v>
      </c>
      <c r="AH17" s="6">
        <v>27147</v>
      </c>
    </row>
    <row r="18" spans="1:34" x14ac:dyDescent="0.25">
      <c r="A18" t="s">
        <v>5</v>
      </c>
      <c r="B18" t="s">
        <v>211</v>
      </c>
      <c r="C18" s="6">
        <v>9049</v>
      </c>
      <c r="D18" s="6">
        <v>9049</v>
      </c>
      <c r="E18" s="6">
        <v>9049</v>
      </c>
      <c r="F18" s="6">
        <v>9049</v>
      </c>
      <c r="G18" s="6">
        <v>9049</v>
      </c>
      <c r="H18" s="6">
        <v>9049</v>
      </c>
      <c r="I18" s="6">
        <v>9049</v>
      </c>
      <c r="J18" s="6">
        <v>9049</v>
      </c>
      <c r="K18" s="6">
        <v>9049</v>
      </c>
      <c r="L18" s="6">
        <v>9049</v>
      </c>
      <c r="M18" s="6">
        <v>9049</v>
      </c>
      <c r="N18" s="6">
        <v>9049</v>
      </c>
      <c r="O18" s="6">
        <v>9049</v>
      </c>
      <c r="P18" s="6">
        <v>9049</v>
      </c>
      <c r="Q18" s="6">
        <v>9049</v>
      </c>
      <c r="R18" s="6">
        <v>9049</v>
      </c>
      <c r="S18" s="6">
        <v>9049</v>
      </c>
      <c r="T18" s="6">
        <v>9049</v>
      </c>
      <c r="U18" s="6">
        <v>9049</v>
      </c>
      <c r="V18" s="6">
        <v>9049</v>
      </c>
      <c r="W18" s="6">
        <v>9049</v>
      </c>
      <c r="X18" s="6">
        <v>9049</v>
      </c>
      <c r="Y18" s="6">
        <v>9049</v>
      </c>
      <c r="Z18" s="6">
        <v>9049</v>
      </c>
      <c r="AA18" s="6">
        <v>9049</v>
      </c>
      <c r="AB18" s="6">
        <v>9049</v>
      </c>
      <c r="AC18" s="6">
        <v>9049</v>
      </c>
      <c r="AD18" s="6">
        <v>9049</v>
      </c>
      <c r="AE18" s="6">
        <v>9049</v>
      </c>
      <c r="AF18" s="6">
        <v>9049</v>
      </c>
      <c r="AG18" s="6">
        <v>9049</v>
      </c>
      <c r="AH18" s="6">
        <v>9049</v>
      </c>
    </row>
    <row r="19" spans="1:34" x14ac:dyDescent="0.25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x14ac:dyDescent="0.25">
      <c r="A20" t="s">
        <v>216</v>
      </c>
      <c r="B20" t="s">
        <v>215</v>
      </c>
      <c r="C20">
        <v>2019</v>
      </c>
      <c r="D20">
        <v>2020</v>
      </c>
      <c r="E20">
        <v>2021</v>
      </c>
      <c r="F20">
        <v>2022</v>
      </c>
      <c r="G20">
        <v>2023</v>
      </c>
      <c r="H20">
        <v>2024</v>
      </c>
      <c r="I20">
        <v>2025</v>
      </c>
      <c r="J20">
        <v>2026</v>
      </c>
      <c r="K20">
        <v>2027</v>
      </c>
      <c r="L20">
        <v>2028</v>
      </c>
      <c r="M20">
        <v>2029</v>
      </c>
      <c r="N20">
        <v>2030</v>
      </c>
      <c r="O20">
        <v>2031</v>
      </c>
      <c r="P20">
        <v>2032</v>
      </c>
      <c r="Q20">
        <v>2033</v>
      </c>
      <c r="R20">
        <v>2034</v>
      </c>
      <c r="S20">
        <v>2035</v>
      </c>
      <c r="T20">
        <v>2036</v>
      </c>
      <c r="U20">
        <v>2037</v>
      </c>
      <c r="V20">
        <v>2038</v>
      </c>
      <c r="W20">
        <v>2039</v>
      </c>
      <c r="X20">
        <v>2040</v>
      </c>
      <c r="Y20">
        <v>2041</v>
      </c>
      <c r="Z20">
        <v>2042</v>
      </c>
      <c r="AA20">
        <v>2043</v>
      </c>
      <c r="AB20">
        <v>2044</v>
      </c>
      <c r="AC20">
        <v>2045</v>
      </c>
      <c r="AD20">
        <v>2046</v>
      </c>
      <c r="AE20">
        <v>2047</v>
      </c>
      <c r="AF20">
        <v>2048</v>
      </c>
      <c r="AG20">
        <v>2049</v>
      </c>
      <c r="AH20">
        <v>2050</v>
      </c>
    </row>
    <row r="21" spans="1:34" x14ac:dyDescent="0.25">
      <c r="A21" t="s">
        <v>2</v>
      </c>
      <c r="B21" t="s">
        <v>198</v>
      </c>
      <c r="C21" s="6">
        <v>106119.39</v>
      </c>
      <c r="D21" s="6">
        <v>105312.2</v>
      </c>
      <c r="E21" s="6">
        <v>103585.73</v>
      </c>
      <c r="F21" s="6">
        <v>101944.43</v>
      </c>
      <c r="G21" s="6">
        <v>99861.37</v>
      </c>
      <c r="H21" s="6">
        <v>96922.04</v>
      </c>
      <c r="I21" s="6">
        <v>77786.929999999993</v>
      </c>
      <c r="J21" s="6">
        <v>73944.06</v>
      </c>
      <c r="K21" s="6">
        <v>69994.850000000006</v>
      </c>
      <c r="L21" s="6">
        <v>65982.84</v>
      </c>
      <c r="M21" s="6">
        <v>61881.99</v>
      </c>
      <c r="N21" s="6">
        <v>53301.99</v>
      </c>
      <c r="O21" s="6">
        <v>49683.05</v>
      </c>
      <c r="P21" s="6">
        <v>46272.37</v>
      </c>
      <c r="Q21" s="6">
        <v>43015.9</v>
      </c>
      <c r="R21" s="6">
        <v>39705.199999999997</v>
      </c>
      <c r="S21" s="6">
        <v>36765.89</v>
      </c>
      <c r="T21" s="6">
        <v>34790.83</v>
      </c>
      <c r="U21" s="6">
        <v>32875.879999999997</v>
      </c>
      <c r="V21" s="6">
        <v>31048.400000000001</v>
      </c>
      <c r="W21" s="6">
        <v>29475.91</v>
      </c>
      <c r="X21" s="6">
        <v>28045.42</v>
      </c>
      <c r="Y21" s="6">
        <v>27113.4</v>
      </c>
      <c r="Z21" s="6">
        <v>26242.26</v>
      </c>
      <c r="AA21" s="6">
        <v>25435.42</v>
      </c>
      <c r="AB21" s="6">
        <v>24683.66</v>
      </c>
      <c r="AC21" s="6">
        <v>22834.26</v>
      </c>
      <c r="AD21" s="6">
        <v>22307.17</v>
      </c>
      <c r="AE21" s="6">
        <v>21827.32</v>
      </c>
      <c r="AF21" s="6">
        <v>21402.09</v>
      </c>
      <c r="AG21" s="6">
        <v>21044.59</v>
      </c>
      <c r="AH21" s="6">
        <v>20708.689999999999</v>
      </c>
    </row>
    <row r="22" spans="1:34" x14ac:dyDescent="0.25">
      <c r="A22" t="s">
        <v>2</v>
      </c>
      <c r="B22" t="s">
        <v>199</v>
      </c>
      <c r="C22" s="6">
        <v>0</v>
      </c>
      <c r="D22" s="6">
        <v>-3.33</v>
      </c>
      <c r="E22" s="6">
        <v>500.09</v>
      </c>
      <c r="F22" s="6">
        <v>980.52</v>
      </c>
      <c r="G22" s="6">
        <v>1438.25</v>
      </c>
      <c r="H22" s="6">
        <v>1873.8</v>
      </c>
      <c r="I22" s="6">
        <v>2289.5300000000002</v>
      </c>
      <c r="J22" s="6">
        <v>2674.44</v>
      </c>
      <c r="K22" s="6">
        <v>3037.14</v>
      </c>
      <c r="L22" s="6">
        <v>3384.49</v>
      </c>
      <c r="M22" s="6">
        <v>3719.53</v>
      </c>
      <c r="N22" s="6">
        <v>4046.08</v>
      </c>
      <c r="O22" s="6">
        <v>4360.54</v>
      </c>
      <c r="P22" s="6">
        <v>4669.3100000000004</v>
      </c>
      <c r="Q22" s="6">
        <v>4972.74</v>
      </c>
      <c r="R22" s="6">
        <v>5270.76</v>
      </c>
      <c r="S22" s="6">
        <v>5563.26</v>
      </c>
      <c r="T22" s="6">
        <v>5411.39</v>
      </c>
      <c r="U22" s="6">
        <v>5266.77</v>
      </c>
      <c r="V22" s="6">
        <v>5128.5200000000004</v>
      </c>
      <c r="W22" s="6">
        <v>5075.5600000000004</v>
      </c>
      <c r="X22" s="6">
        <v>5016.82</v>
      </c>
      <c r="Y22" s="6">
        <v>4965.43</v>
      </c>
      <c r="Z22" s="6">
        <v>4916.5600000000004</v>
      </c>
      <c r="AA22" s="6">
        <v>4869.8599999999997</v>
      </c>
      <c r="AB22" s="6">
        <v>4824.97</v>
      </c>
      <c r="AC22" s="6">
        <v>5536.3</v>
      </c>
      <c r="AD22" s="6">
        <v>5495.86</v>
      </c>
      <c r="AE22" s="6">
        <v>5456.48</v>
      </c>
      <c r="AF22" s="6">
        <v>5418.06</v>
      </c>
      <c r="AG22" s="6">
        <v>5380.57</v>
      </c>
      <c r="AH22" s="6">
        <v>5343.98</v>
      </c>
    </row>
    <row r="23" spans="1:34" x14ac:dyDescent="0.25">
      <c r="A23" t="s">
        <v>2</v>
      </c>
      <c r="B23" t="s">
        <v>212</v>
      </c>
      <c r="C23" s="6">
        <v>0</v>
      </c>
      <c r="D23" s="6">
        <v>0</v>
      </c>
      <c r="E23" s="6">
        <v>0.6</v>
      </c>
      <c r="F23" s="6">
        <v>1.2</v>
      </c>
      <c r="G23" s="6">
        <v>225.9</v>
      </c>
      <c r="H23" s="6">
        <v>450.6</v>
      </c>
      <c r="I23" s="6">
        <v>664.59</v>
      </c>
      <c r="J23" s="6">
        <v>872.76</v>
      </c>
      <c r="K23" s="6">
        <v>1074.94</v>
      </c>
      <c r="L23" s="6">
        <v>1271.3800000000001</v>
      </c>
      <c r="M23" s="6">
        <v>1462.34</v>
      </c>
      <c r="N23" s="6">
        <v>1648.03</v>
      </c>
      <c r="O23" s="6">
        <v>2060.62</v>
      </c>
      <c r="P23" s="6">
        <v>2462.7800000000002</v>
      </c>
      <c r="Q23" s="6">
        <v>2854.93</v>
      </c>
      <c r="R23" s="6">
        <v>3237.48</v>
      </c>
      <c r="S23" s="6">
        <v>3610.8</v>
      </c>
      <c r="T23" s="6">
        <v>3808.3</v>
      </c>
      <c r="U23" s="6">
        <v>4001.57</v>
      </c>
      <c r="V23" s="6">
        <v>4190.7700000000004</v>
      </c>
      <c r="W23" s="6">
        <v>4376.0600000000004</v>
      </c>
      <c r="X23" s="6">
        <v>4557.59</v>
      </c>
      <c r="Y23" s="6">
        <v>4731.1400000000003</v>
      </c>
      <c r="Z23" s="6">
        <v>4900.8999999999996</v>
      </c>
      <c r="AA23" s="6">
        <v>5066.9799999999996</v>
      </c>
      <c r="AB23" s="6">
        <v>5229.53</v>
      </c>
      <c r="AC23" s="6">
        <v>5388.67</v>
      </c>
      <c r="AD23" s="6">
        <v>5540.81</v>
      </c>
      <c r="AE23" s="6">
        <v>5689.56</v>
      </c>
      <c r="AF23" s="6">
        <v>5835.05</v>
      </c>
      <c r="AG23" s="6">
        <v>5977.38</v>
      </c>
      <c r="AH23" s="6">
        <v>6116.66</v>
      </c>
    </row>
    <row r="24" spans="1:34" x14ac:dyDescent="0.25">
      <c r="A24" t="s">
        <v>2</v>
      </c>
      <c r="B24" t="s">
        <v>50</v>
      </c>
      <c r="C24" s="6">
        <v>0</v>
      </c>
      <c r="D24" s="6">
        <v>0</v>
      </c>
      <c r="E24" s="6">
        <v>0</v>
      </c>
      <c r="F24" s="6">
        <v>0</v>
      </c>
      <c r="G24" s="6">
        <v>91.43</v>
      </c>
      <c r="H24" s="6">
        <v>218.6</v>
      </c>
      <c r="I24" s="6">
        <v>340.37</v>
      </c>
      <c r="J24" s="6">
        <v>621.82000000000005</v>
      </c>
      <c r="K24" s="6">
        <v>899.72</v>
      </c>
      <c r="L24" s="6">
        <v>1174.28</v>
      </c>
      <c r="M24" s="6">
        <v>1446.89</v>
      </c>
      <c r="N24" s="6">
        <v>1716.65</v>
      </c>
      <c r="O24" s="6">
        <v>2093.85</v>
      </c>
      <c r="P24" s="6">
        <v>2472.0100000000002</v>
      </c>
      <c r="Q24" s="6">
        <v>2851.98</v>
      </c>
      <c r="R24" s="6">
        <v>3235.85</v>
      </c>
      <c r="S24" s="6">
        <v>3618.12</v>
      </c>
      <c r="T24" s="6">
        <v>3747.92</v>
      </c>
      <c r="U24" s="6">
        <v>3879.7</v>
      </c>
      <c r="V24" s="6">
        <v>4013.65</v>
      </c>
      <c r="W24" s="6">
        <v>4152.3599999999997</v>
      </c>
      <c r="X24" s="6">
        <v>4288.82</v>
      </c>
      <c r="Y24" s="6">
        <v>4256.66</v>
      </c>
      <c r="Z24" s="6">
        <v>4222.55</v>
      </c>
      <c r="AA24" s="6">
        <v>4186.93</v>
      </c>
      <c r="AB24" s="6">
        <v>4151.24</v>
      </c>
      <c r="AC24" s="6">
        <v>4107.09</v>
      </c>
      <c r="AD24" s="6">
        <v>4064.39</v>
      </c>
      <c r="AE24" s="6">
        <v>4020.84</v>
      </c>
      <c r="AF24" s="6">
        <v>3961.68</v>
      </c>
      <c r="AG24" s="6">
        <v>3848.35</v>
      </c>
      <c r="AH24" s="6">
        <v>3771.92</v>
      </c>
    </row>
    <row r="25" spans="1:34" x14ac:dyDescent="0.25">
      <c r="A25" t="s">
        <v>2</v>
      </c>
      <c r="B25" t="s">
        <v>201</v>
      </c>
      <c r="C25" s="6">
        <v>-0.39</v>
      </c>
      <c r="D25" s="6">
        <v>0.14000000000000001</v>
      </c>
      <c r="E25" s="6">
        <v>-0.42</v>
      </c>
      <c r="F25" s="6">
        <v>0.22</v>
      </c>
      <c r="G25" s="6">
        <v>1.41</v>
      </c>
      <c r="H25" s="6">
        <v>32.909999999999997</v>
      </c>
      <c r="I25" s="6">
        <v>85.67</v>
      </c>
      <c r="J25" s="6">
        <v>154.28</v>
      </c>
      <c r="K25" s="6">
        <v>236.23</v>
      </c>
      <c r="L25" s="6">
        <v>333.93</v>
      </c>
      <c r="M25" s="6">
        <v>491.78</v>
      </c>
      <c r="N25" s="6">
        <v>655.56</v>
      </c>
      <c r="O25" s="6">
        <v>826.41</v>
      </c>
      <c r="P25" s="6">
        <v>977.56</v>
      </c>
      <c r="Q25" s="6">
        <v>1095.76</v>
      </c>
      <c r="R25" s="6">
        <v>1177.04</v>
      </c>
      <c r="S25" s="6">
        <v>1245.6199999999999</v>
      </c>
      <c r="T25" s="6">
        <v>1286.1400000000001</v>
      </c>
      <c r="U25" s="6">
        <v>1302.43</v>
      </c>
      <c r="V25" s="6">
        <v>1294.29</v>
      </c>
      <c r="W25" s="6">
        <v>1268.3399999999999</v>
      </c>
      <c r="X25" s="6">
        <v>1217.21</v>
      </c>
      <c r="Y25" s="6">
        <v>1222.01</v>
      </c>
      <c r="Z25" s="6">
        <v>1984</v>
      </c>
      <c r="AA25" s="6">
        <v>1975.71</v>
      </c>
      <c r="AB25" s="6">
        <v>1959.89</v>
      </c>
      <c r="AC25" s="6">
        <v>1193.9000000000001</v>
      </c>
      <c r="AD25" s="6">
        <v>1184.67</v>
      </c>
      <c r="AE25" s="6">
        <v>1177.7</v>
      </c>
      <c r="AF25" s="6">
        <v>1172.53</v>
      </c>
      <c r="AG25" s="6">
        <v>1164.75</v>
      </c>
      <c r="AH25" s="6">
        <v>1164.03</v>
      </c>
    </row>
    <row r="26" spans="1:34" x14ac:dyDescent="0.25">
      <c r="A26" t="s">
        <v>2</v>
      </c>
      <c r="B26" t="s">
        <v>213</v>
      </c>
      <c r="C26" s="6">
        <v>0</v>
      </c>
      <c r="D26" s="6">
        <v>0</v>
      </c>
      <c r="E26" s="6">
        <v>0</v>
      </c>
      <c r="F26" s="6">
        <v>0</v>
      </c>
      <c r="G26" s="6">
        <v>15.49</v>
      </c>
      <c r="H26" s="6">
        <v>202.34</v>
      </c>
      <c r="I26" s="6">
        <v>379.15</v>
      </c>
      <c r="J26" s="6">
        <v>542</v>
      </c>
      <c r="K26" s="6">
        <v>691.46</v>
      </c>
      <c r="L26" s="6">
        <v>826.42</v>
      </c>
      <c r="M26" s="6">
        <v>936.11</v>
      </c>
      <c r="N26" s="6">
        <v>1033.0999999999999</v>
      </c>
      <c r="O26" s="6">
        <v>1096.96</v>
      </c>
      <c r="P26" s="6">
        <v>1141.96</v>
      </c>
      <c r="Q26" s="6">
        <v>1171.03</v>
      </c>
      <c r="R26" s="6">
        <v>1182.79</v>
      </c>
      <c r="S26" s="6">
        <v>1200.81</v>
      </c>
      <c r="T26" s="6">
        <v>1126.1300000000001</v>
      </c>
      <c r="U26" s="6">
        <v>1058.08</v>
      </c>
      <c r="V26" s="6">
        <v>995.78</v>
      </c>
      <c r="W26" s="6">
        <v>935.16</v>
      </c>
      <c r="X26" s="6">
        <v>886.36</v>
      </c>
      <c r="Y26" s="6">
        <v>856.03</v>
      </c>
      <c r="Z26" s="6">
        <v>828.49</v>
      </c>
      <c r="AA26" s="6">
        <v>802.96</v>
      </c>
      <c r="AB26" s="6">
        <v>777.81</v>
      </c>
      <c r="AC26" s="6">
        <v>761.26</v>
      </c>
      <c r="AD26" s="6">
        <v>742.59</v>
      </c>
      <c r="AE26" s="6">
        <v>724.59</v>
      </c>
      <c r="AF26" s="6">
        <v>707.07</v>
      </c>
      <c r="AG26" s="6">
        <v>686.85</v>
      </c>
      <c r="AH26" s="6">
        <v>673.2</v>
      </c>
    </row>
    <row r="27" spans="1:34" x14ac:dyDescent="0.25">
      <c r="A27" t="s">
        <v>2</v>
      </c>
      <c r="B27" t="s">
        <v>214</v>
      </c>
      <c r="C27" s="6">
        <v>0</v>
      </c>
      <c r="D27" s="6">
        <v>0</v>
      </c>
      <c r="E27" s="6">
        <v>0</v>
      </c>
      <c r="F27" s="6">
        <v>-279.36</v>
      </c>
      <c r="G27" s="6">
        <v>-479.79</v>
      </c>
      <c r="H27" s="6">
        <v>-712.71</v>
      </c>
      <c r="I27" s="6">
        <v>-867.7</v>
      </c>
      <c r="J27" s="6">
        <v>-947.39</v>
      </c>
      <c r="K27" s="6">
        <v>-958.48</v>
      </c>
      <c r="L27" s="6">
        <v>-906.11</v>
      </c>
      <c r="M27" s="6">
        <v>-792.57</v>
      </c>
      <c r="N27" s="6">
        <v>-626.03</v>
      </c>
      <c r="O27" s="6">
        <v>-662.25</v>
      </c>
      <c r="P27" s="6">
        <v>-683.68</v>
      </c>
      <c r="Q27" s="6">
        <v>-691.58</v>
      </c>
      <c r="R27" s="6">
        <v>-686.57</v>
      </c>
      <c r="S27" s="6">
        <v>-671.83</v>
      </c>
      <c r="T27" s="6">
        <v>-614.61</v>
      </c>
      <c r="U27" s="6">
        <v>-555.54</v>
      </c>
      <c r="V27" s="6">
        <v>-494.43</v>
      </c>
      <c r="W27" s="6">
        <v>-430.9</v>
      </c>
      <c r="X27" s="6">
        <v>-1092.5899999999999</v>
      </c>
      <c r="Y27" s="6">
        <v>-1031.81</v>
      </c>
      <c r="Z27" s="6">
        <v>-968.68</v>
      </c>
      <c r="AA27" s="6">
        <v>-901.56</v>
      </c>
      <c r="AB27" s="6">
        <v>-830.58</v>
      </c>
      <c r="AC27" s="6">
        <v>-754.75</v>
      </c>
      <c r="AD27" s="6">
        <v>-754.75</v>
      </c>
      <c r="AE27" s="6">
        <v>-754.75</v>
      </c>
      <c r="AF27" s="6">
        <v>-754.75</v>
      </c>
      <c r="AG27" s="6">
        <v>-754.75</v>
      </c>
      <c r="AH27" s="6">
        <v>-754.75</v>
      </c>
    </row>
    <row r="28" spans="1:34" x14ac:dyDescent="0.25">
      <c r="A28" t="s">
        <v>2</v>
      </c>
      <c r="B28" t="s">
        <v>203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259</v>
      </c>
      <c r="J28" s="6">
        <v>506</v>
      </c>
      <c r="K28" s="6">
        <v>742</v>
      </c>
      <c r="L28" s="6">
        <v>966</v>
      </c>
      <c r="M28" s="6">
        <v>1179</v>
      </c>
      <c r="N28" s="6">
        <v>1382</v>
      </c>
      <c r="O28" s="6">
        <v>1590</v>
      </c>
      <c r="P28" s="6">
        <v>1791</v>
      </c>
      <c r="Q28" s="6">
        <v>1986</v>
      </c>
      <c r="R28" s="6">
        <v>2177</v>
      </c>
      <c r="S28" s="6">
        <v>2361</v>
      </c>
      <c r="T28" s="6">
        <v>2542</v>
      </c>
      <c r="U28" s="6">
        <v>2718</v>
      </c>
      <c r="V28" s="6">
        <v>2889</v>
      </c>
      <c r="W28" s="6">
        <v>3058</v>
      </c>
      <c r="X28" s="6">
        <v>3973</v>
      </c>
      <c r="Y28" s="6">
        <v>4134</v>
      </c>
      <c r="Z28" s="6">
        <v>3531</v>
      </c>
      <c r="AA28" s="6">
        <v>3679</v>
      </c>
      <c r="AB28" s="6">
        <v>3824</v>
      </c>
      <c r="AC28" s="6">
        <v>3965</v>
      </c>
      <c r="AD28" s="6">
        <v>4108</v>
      </c>
      <c r="AE28" s="6">
        <v>4247</v>
      </c>
      <c r="AF28" s="6">
        <v>4383</v>
      </c>
      <c r="AG28" s="6">
        <v>4516</v>
      </c>
      <c r="AH28" s="6">
        <v>4647</v>
      </c>
    </row>
    <row r="29" spans="1:34" x14ac:dyDescent="0.25">
      <c r="A29" t="s">
        <v>2</v>
      </c>
      <c r="B29" t="s">
        <v>170</v>
      </c>
      <c r="C29" s="6">
        <v>0</v>
      </c>
      <c r="D29" s="6">
        <v>0</v>
      </c>
      <c r="E29" s="6">
        <v>0</v>
      </c>
      <c r="F29" s="6">
        <v>0</v>
      </c>
      <c r="G29" s="6">
        <v>20.92</v>
      </c>
      <c r="H29" s="6">
        <v>145.43</v>
      </c>
      <c r="I29" s="6">
        <v>274.47000000000003</v>
      </c>
      <c r="J29" s="6">
        <v>408.04</v>
      </c>
      <c r="K29" s="6">
        <v>546.14</v>
      </c>
      <c r="L29" s="6">
        <v>688.77</v>
      </c>
      <c r="M29" s="6">
        <v>835.93</v>
      </c>
      <c r="N29" s="6">
        <v>987.62</v>
      </c>
      <c r="O29" s="6">
        <v>1115.82</v>
      </c>
      <c r="P29" s="6">
        <v>1241.69</v>
      </c>
      <c r="Q29" s="6">
        <v>1365.23</v>
      </c>
      <c r="R29" s="6">
        <v>1486.44</v>
      </c>
      <c r="S29" s="6">
        <v>1605.33</v>
      </c>
      <c r="T29" s="6">
        <v>1721.89</v>
      </c>
      <c r="U29" s="6">
        <v>1836.11</v>
      </c>
      <c r="V29" s="6">
        <v>1948.02</v>
      </c>
      <c r="W29" s="6">
        <v>2087.5100000000002</v>
      </c>
      <c r="X29" s="6">
        <v>2228.37</v>
      </c>
      <c r="Y29" s="6">
        <v>2240.15</v>
      </c>
      <c r="Z29" s="6">
        <v>2251.92</v>
      </c>
      <c r="AA29" s="6">
        <v>2263.6999999999998</v>
      </c>
      <c r="AB29" s="6">
        <v>2275.48</v>
      </c>
      <c r="AC29" s="6">
        <v>2287.2600000000002</v>
      </c>
      <c r="AD29" s="6">
        <v>2287.2600000000002</v>
      </c>
      <c r="AE29" s="6">
        <v>2287.2600000000002</v>
      </c>
      <c r="AF29" s="6">
        <v>2287.2600000000002</v>
      </c>
      <c r="AG29" s="6">
        <v>2287.2600000000002</v>
      </c>
      <c r="AH29" s="6">
        <v>2287.2600000000002</v>
      </c>
    </row>
    <row r="30" spans="1:34" x14ac:dyDescent="0.25">
      <c r="A30" t="s">
        <v>2</v>
      </c>
      <c r="B30" t="s">
        <v>204</v>
      </c>
      <c r="C30" s="6">
        <v>0</v>
      </c>
      <c r="D30" s="6">
        <v>0</v>
      </c>
      <c r="E30" s="6">
        <v>23</v>
      </c>
      <c r="F30" s="6">
        <v>44</v>
      </c>
      <c r="G30" s="6">
        <v>144</v>
      </c>
      <c r="H30" s="6">
        <v>290</v>
      </c>
      <c r="I30" s="6">
        <v>432</v>
      </c>
      <c r="J30" s="6">
        <v>567</v>
      </c>
      <c r="K30" s="6">
        <v>693</v>
      </c>
      <c r="L30" s="6">
        <v>800</v>
      </c>
      <c r="M30" s="6"/>
      <c r="N30" s="6">
        <v>942</v>
      </c>
      <c r="O30" s="6">
        <v>1059</v>
      </c>
      <c r="P30" s="6">
        <v>1168</v>
      </c>
      <c r="Q30" s="6">
        <v>1269</v>
      </c>
      <c r="R30" s="6">
        <v>1356</v>
      </c>
      <c r="S30" s="6">
        <v>1468</v>
      </c>
      <c r="T30" s="6">
        <v>1574</v>
      </c>
      <c r="U30" s="6">
        <v>1683</v>
      </c>
      <c r="V30" s="6">
        <v>1794</v>
      </c>
      <c r="W30" s="6">
        <v>1882</v>
      </c>
      <c r="X30" s="6">
        <v>1999</v>
      </c>
      <c r="Y30" s="6">
        <v>1885</v>
      </c>
      <c r="Z30" s="6">
        <v>1766</v>
      </c>
      <c r="AA30" s="6">
        <v>1661</v>
      </c>
      <c r="AB30" s="6">
        <v>1530</v>
      </c>
      <c r="AC30" s="6">
        <v>1443</v>
      </c>
      <c r="AD30" s="6">
        <v>1399</v>
      </c>
      <c r="AE30" s="6">
        <v>1359</v>
      </c>
      <c r="AF30" s="6">
        <v>1321</v>
      </c>
      <c r="AG30" s="6">
        <v>1263</v>
      </c>
      <c r="AH30" s="6">
        <v>1250</v>
      </c>
    </row>
    <row r="31" spans="1:34" x14ac:dyDescent="0.25">
      <c r="A31" t="s">
        <v>2</v>
      </c>
      <c r="B31" t="s">
        <v>205</v>
      </c>
      <c r="C31" s="6">
        <v>0</v>
      </c>
      <c r="D31" s="6">
        <v>0</v>
      </c>
      <c r="E31" s="6">
        <v>150</v>
      </c>
      <c r="F31" s="6">
        <v>290</v>
      </c>
      <c r="G31" s="6">
        <v>420</v>
      </c>
      <c r="H31" s="6">
        <v>536</v>
      </c>
      <c r="I31" s="6">
        <v>627</v>
      </c>
      <c r="J31" s="6">
        <v>712</v>
      </c>
      <c r="K31" s="6">
        <v>777</v>
      </c>
      <c r="L31" s="6">
        <v>828</v>
      </c>
      <c r="M31" s="6">
        <v>864</v>
      </c>
      <c r="N31" s="6">
        <v>892</v>
      </c>
      <c r="O31" s="6">
        <v>920</v>
      </c>
      <c r="P31" s="6">
        <v>945</v>
      </c>
      <c r="Q31" s="6">
        <v>966</v>
      </c>
      <c r="R31" s="6">
        <v>971</v>
      </c>
      <c r="S31" s="6">
        <v>977</v>
      </c>
      <c r="T31" s="6">
        <v>956</v>
      </c>
      <c r="U31" s="6">
        <v>932</v>
      </c>
      <c r="V31" s="6">
        <v>908</v>
      </c>
      <c r="W31" s="6">
        <v>896</v>
      </c>
      <c r="X31" s="6">
        <v>887</v>
      </c>
      <c r="Y31" s="6">
        <v>879</v>
      </c>
      <c r="Z31" s="6">
        <v>871</v>
      </c>
      <c r="AA31" s="6">
        <v>864</v>
      </c>
      <c r="AB31" s="6">
        <v>858</v>
      </c>
      <c r="AC31" s="6">
        <v>852</v>
      </c>
      <c r="AD31" s="6">
        <v>851</v>
      </c>
      <c r="AE31" s="6">
        <v>852</v>
      </c>
      <c r="AF31" s="6">
        <v>853</v>
      </c>
      <c r="AG31" s="6">
        <v>854</v>
      </c>
      <c r="AH31" s="6">
        <v>853</v>
      </c>
    </row>
    <row r="32" spans="1:34" x14ac:dyDescent="0.25">
      <c r="A32" t="s">
        <v>2</v>
      </c>
      <c r="B32" t="s">
        <v>206</v>
      </c>
      <c r="C32" s="6">
        <v>0</v>
      </c>
      <c r="D32" s="6">
        <v>0</v>
      </c>
      <c r="E32" s="6">
        <v>157</v>
      </c>
      <c r="F32" s="6">
        <v>311</v>
      </c>
      <c r="G32" s="6">
        <v>463</v>
      </c>
      <c r="H32" s="6">
        <v>599</v>
      </c>
      <c r="I32" s="6">
        <v>686</v>
      </c>
      <c r="J32" s="6">
        <v>777</v>
      </c>
      <c r="K32" s="6">
        <v>841</v>
      </c>
      <c r="L32" s="6">
        <v>878</v>
      </c>
      <c r="M32" s="6">
        <v>890</v>
      </c>
      <c r="N32" s="6">
        <v>888</v>
      </c>
      <c r="O32" s="6">
        <v>893</v>
      </c>
      <c r="P32" s="6">
        <v>899</v>
      </c>
      <c r="Q32" s="6">
        <v>897</v>
      </c>
      <c r="R32" s="6">
        <v>863</v>
      </c>
      <c r="S32" s="6">
        <v>839</v>
      </c>
      <c r="T32" s="6">
        <v>792</v>
      </c>
      <c r="U32" s="6">
        <v>729</v>
      </c>
      <c r="V32" s="6">
        <v>655</v>
      </c>
      <c r="W32" s="6">
        <v>583</v>
      </c>
      <c r="X32" s="6">
        <v>509</v>
      </c>
      <c r="Y32" s="6">
        <v>409</v>
      </c>
      <c r="Z32" s="6">
        <v>318</v>
      </c>
      <c r="AA32" s="6">
        <v>238</v>
      </c>
      <c r="AB32" s="6">
        <v>170</v>
      </c>
      <c r="AC32" s="6">
        <v>114</v>
      </c>
      <c r="AD32" s="6">
        <v>81</v>
      </c>
      <c r="AE32" s="6">
        <v>58</v>
      </c>
      <c r="AF32" s="6">
        <v>44</v>
      </c>
      <c r="AG32" s="6">
        <v>35</v>
      </c>
      <c r="AH32" s="6">
        <v>32</v>
      </c>
    </row>
    <row r="33" spans="1:34" x14ac:dyDescent="0.25">
      <c r="A33" t="s">
        <v>2</v>
      </c>
      <c r="B33" t="s">
        <v>207</v>
      </c>
      <c r="C33" s="6">
        <v>0</v>
      </c>
      <c r="D33" s="6">
        <v>0</v>
      </c>
      <c r="E33" s="6">
        <v>121</v>
      </c>
      <c r="F33" s="6">
        <v>233</v>
      </c>
      <c r="G33" s="6">
        <v>341</v>
      </c>
      <c r="H33" s="6">
        <v>435</v>
      </c>
      <c r="I33" s="6">
        <v>491</v>
      </c>
      <c r="J33" s="6">
        <v>549</v>
      </c>
      <c r="K33" s="6">
        <v>587</v>
      </c>
      <c r="L33" s="6">
        <v>603</v>
      </c>
      <c r="M33" s="6">
        <v>602</v>
      </c>
      <c r="N33" s="6">
        <v>595</v>
      </c>
      <c r="O33" s="6">
        <v>591</v>
      </c>
      <c r="P33" s="6">
        <v>585</v>
      </c>
      <c r="Q33" s="6">
        <v>576</v>
      </c>
      <c r="R33" s="6">
        <v>545</v>
      </c>
      <c r="S33" s="6">
        <v>522</v>
      </c>
      <c r="T33" s="6">
        <v>483</v>
      </c>
      <c r="U33" s="6">
        <v>435</v>
      </c>
      <c r="V33" s="6">
        <v>383</v>
      </c>
      <c r="W33" s="6">
        <v>333</v>
      </c>
      <c r="X33" s="6">
        <v>284</v>
      </c>
      <c r="Y33" s="6">
        <v>227</v>
      </c>
      <c r="Z33" s="6">
        <v>175</v>
      </c>
      <c r="AA33" s="6">
        <v>129</v>
      </c>
      <c r="AB33" s="6">
        <v>89</v>
      </c>
      <c r="AC33" s="6">
        <v>56</v>
      </c>
      <c r="AD33" s="6">
        <v>36</v>
      </c>
      <c r="AE33" s="6">
        <v>21</v>
      </c>
      <c r="AF33" s="6">
        <v>11</v>
      </c>
      <c r="AG33" s="6">
        <v>5</v>
      </c>
      <c r="AH33" s="6">
        <v>2</v>
      </c>
    </row>
    <row r="34" spans="1:34" x14ac:dyDescent="0.25">
      <c r="A34" t="s">
        <v>2</v>
      </c>
      <c r="B34" t="s">
        <v>208</v>
      </c>
      <c r="C34" s="6">
        <v>0</v>
      </c>
      <c r="D34" s="6">
        <v>100.3</v>
      </c>
      <c r="E34" s="6">
        <v>139.69999999999999</v>
      </c>
      <c r="F34" s="6">
        <v>202.7</v>
      </c>
      <c r="G34" s="6">
        <v>290</v>
      </c>
      <c r="H34" s="6">
        <v>401.7</v>
      </c>
      <c r="I34" s="6">
        <v>15843.47</v>
      </c>
      <c r="J34" s="6">
        <v>16148.51</v>
      </c>
      <c r="K34" s="6">
        <v>16466.25</v>
      </c>
      <c r="L34" s="6">
        <v>16794.95</v>
      </c>
      <c r="M34" s="6">
        <v>17133.900000000001</v>
      </c>
      <c r="N34" s="6">
        <v>22228</v>
      </c>
      <c r="O34" s="6">
        <v>22325.31</v>
      </c>
      <c r="P34" s="6">
        <v>22423.439999999999</v>
      </c>
      <c r="Q34" s="6">
        <v>22526.23</v>
      </c>
      <c r="R34" s="6">
        <v>22630.47</v>
      </c>
      <c r="S34" s="6">
        <v>22737.55</v>
      </c>
      <c r="T34" s="6">
        <v>22837.24</v>
      </c>
      <c r="U34" s="6">
        <v>22938.04</v>
      </c>
      <c r="V34" s="6">
        <v>23040.22</v>
      </c>
      <c r="W34" s="6">
        <v>23143.919999999998</v>
      </c>
      <c r="X34" s="6">
        <v>23248.85</v>
      </c>
      <c r="Y34" s="6">
        <v>23356.42</v>
      </c>
      <c r="Z34" s="6">
        <v>23464.98</v>
      </c>
      <c r="AA34" s="6">
        <v>23574.68</v>
      </c>
      <c r="AB34" s="6">
        <v>23685.63</v>
      </c>
      <c r="AC34" s="6">
        <v>25001.93</v>
      </c>
      <c r="AD34" s="6">
        <v>25048.23</v>
      </c>
      <c r="AE34" s="6">
        <v>25094.95</v>
      </c>
      <c r="AF34" s="6">
        <v>25141.87</v>
      </c>
      <c r="AG34" s="6">
        <v>25189.07</v>
      </c>
      <c r="AH34" s="6">
        <v>25236.3</v>
      </c>
    </row>
    <row r="35" spans="1:34" x14ac:dyDescent="0.25">
      <c r="A35" t="s">
        <v>2</v>
      </c>
      <c r="B35" t="s">
        <v>3</v>
      </c>
      <c r="C35" s="6">
        <v>0</v>
      </c>
      <c r="D35" s="6">
        <v>211.5</v>
      </c>
      <c r="E35" s="6">
        <v>1087</v>
      </c>
      <c r="F35" s="6">
        <v>1983.6</v>
      </c>
      <c r="G35" s="6">
        <v>2902.4</v>
      </c>
      <c r="H35" s="6">
        <v>4128.1000000000004</v>
      </c>
      <c r="I35" s="6">
        <v>5210.5</v>
      </c>
      <c r="J35" s="6">
        <v>6368.02</v>
      </c>
      <c r="K35" s="6">
        <v>7604.2</v>
      </c>
      <c r="L35" s="6">
        <v>8949.33</v>
      </c>
      <c r="M35" s="6">
        <v>10477.59</v>
      </c>
      <c r="N35" s="6">
        <v>12014.57</v>
      </c>
      <c r="O35" s="6">
        <v>13599.01</v>
      </c>
      <c r="P35" s="6">
        <v>15189.25</v>
      </c>
      <c r="Q35" s="6">
        <v>16772.89</v>
      </c>
      <c r="R35" s="6">
        <v>18434</v>
      </c>
      <c r="S35" s="6">
        <v>19863.68</v>
      </c>
      <c r="T35" s="6">
        <v>21312.18</v>
      </c>
      <c r="U35" s="6">
        <v>22741.98</v>
      </c>
      <c r="V35" s="6">
        <v>24126.81</v>
      </c>
      <c r="W35" s="6">
        <v>25196.41</v>
      </c>
      <c r="X35" s="6">
        <v>26121.02</v>
      </c>
      <c r="Y35" s="6">
        <v>27036.34</v>
      </c>
      <c r="Z35" s="6">
        <v>27876.95</v>
      </c>
      <c r="AA35" s="6">
        <v>28630.68</v>
      </c>
      <c r="AB35" s="6">
        <v>29348.33</v>
      </c>
      <c r="AC35" s="6">
        <v>29903.32</v>
      </c>
      <c r="AD35" s="6">
        <v>30417.82</v>
      </c>
      <c r="AE35" s="6">
        <v>30890.07</v>
      </c>
      <c r="AF35" s="6">
        <v>31333.17</v>
      </c>
      <c r="AG35" s="6">
        <v>31803.93</v>
      </c>
      <c r="AH35" s="6">
        <v>32165.23</v>
      </c>
    </row>
    <row r="36" spans="1:34" x14ac:dyDescent="0.25">
      <c r="A36" t="s">
        <v>2</v>
      </c>
      <c r="B36" t="s">
        <v>209</v>
      </c>
      <c r="C36" s="6">
        <v>49770</v>
      </c>
      <c r="D36" s="6">
        <v>49770</v>
      </c>
      <c r="E36" s="6">
        <v>49770</v>
      </c>
      <c r="F36" s="6">
        <v>49770</v>
      </c>
      <c r="G36" s="6">
        <v>49770</v>
      </c>
      <c r="H36" s="6">
        <v>49770</v>
      </c>
      <c r="I36" s="6">
        <v>49770</v>
      </c>
      <c r="J36" s="6">
        <v>49770</v>
      </c>
      <c r="K36" s="6">
        <v>49770</v>
      </c>
      <c r="L36" s="6">
        <v>49770</v>
      </c>
      <c r="M36" s="6">
        <v>49770</v>
      </c>
      <c r="N36" s="6">
        <v>49770</v>
      </c>
      <c r="O36" s="6">
        <v>49770</v>
      </c>
      <c r="P36" s="6">
        <v>49770</v>
      </c>
      <c r="Q36" s="6">
        <v>49770</v>
      </c>
      <c r="R36" s="6">
        <v>49770</v>
      </c>
      <c r="S36" s="6">
        <v>49770</v>
      </c>
      <c r="T36" s="6">
        <v>49770</v>
      </c>
      <c r="U36" s="6">
        <v>49770</v>
      </c>
      <c r="V36" s="6">
        <v>49770</v>
      </c>
      <c r="W36" s="6">
        <v>49770</v>
      </c>
      <c r="X36" s="6">
        <v>49770</v>
      </c>
      <c r="Y36" s="6">
        <v>49770</v>
      </c>
      <c r="Z36" s="6">
        <v>49770</v>
      </c>
      <c r="AA36" s="6">
        <v>49770</v>
      </c>
      <c r="AB36" s="6">
        <v>49770</v>
      </c>
      <c r="AC36" s="6">
        <v>49770</v>
      </c>
      <c r="AD36" s="6">
        <v>49770</v>
      </c>
      <c r="AE36" s="6">
        <v>49770</v>
      </c>
      <c r="AF36" s="6">
        <v>49770</v>
      </c>
      <c r="AG36" s="6">
        <v>49770</v>
      </c>
      <c r="AH36" s="6">
        <v>49770</v>
      </c>
    </row>
    <row r="37" spans="1:34" x14ac:dyDescent="0.25">
      <c r="A37" t="s">
        <v>2</v>
      </c>
      <c r="B37" t="s">
        <v>210</v>
      </c>
      <c r="C37" s="6">
        <v>27147</v>
      </c>
      <c r="D37" s="6">
        <v>27147</v>
      </c>
      <c r="E37" s="6">
        <v>27147</v>
      </c>
      <c r="F37" s="6">
        <v>27147</v>
      </c>
      <c r="G37" s="6">
        <v>27147</v>
      </c>
      <c r="H37" s="6">
        <v>27147</v>
      </c>
      <c r="I37" s="6">
        <v>27147</v>
      </c>
      <c r="J37" s="6">
        <v>27147</v>
      </c>
      <c r="K37" s="6">
        <v>27147</v>
      </c>
      <c r="L37" s="6">
        <v>27147</v>
      </c>
      <c r="M37" s="6">
        <v>27147</v>
      </c>
      <c r="N37" s="6">
        <v>27147</v>
      </c>
      <c r="O37" s="6">
        <v>27147</v>
      </c>
      <c r="P37" s="6">
        <v>27147</v>
      </c>
      <c r="Q37" s="6">
        <v>27147</v>
      </c>
      <c r="R37" s="6">
        <v>27147</v>
      </c>
      <c r="S37" s="6">
        <v>27147</v>
      </c>
      <c r="T37" s="6">
        <v>27147</v>
      </c>
      <c r="U37" s="6">
        <v>27147</v>
      </c>
      <c r="V37" s="6">
        <v>27147</v>
      </c>
      <c r="W37" s="6">
        <v>27147</v>
      </c>
      <c r="X37" s="6">
        <v>27147</v>
      </c>
      <c r="Y37" s="6">
        <v>27147</v>
      </c>
      <c r="Z37" s="6">
        <v>27147</v>
      </c>
      <c r="AA37" s="6">
        <v>27147</v>
      </c>
      <c r="AB37" s="6">
        <v>27147</v>
      </c>
      <c r="AC37" s="6">
        <v>27147</v>
      </c>
      <c r="AD37" s="6">
        <v>27147</v>
      </c>
      <c r="AE37" s="6">
        <v>27147</v>
      </c>
      <c r="AF37" s="6">
        <v>27147</v>
      </c>
      <c r="AG37" s="6">
        <v>27147</v>
      </c>
      <c r="AH37" s="6">
        <v>27147</v>
      </c>
    </row>
    <row r="38" spans="1:34" x14ac:dyDescent="0.25">
      <c r="A38" t="s">
        <v>2</v>
      </c>
      <c r="B38" t="s">
        <v>211</v>
      </c>
      <c r="C38" s="6">
        <v>9049</v>
      </c>
      <c r="D38" s="6">
        <v>9049</v>
      </c>
      <c r="E38" s="6">
        <v>9049</v>
      </c>
      <c r="F38" s="6">
        <v>9049</v>
      </c>
      <c r="G38" s="6">
        <v>9049</v>
      </c>
      <c r="H38" s="6">
        <v>9049</v>
      </c>
      <c r="I38" s="6">
        <v>9049</v>
      </c>
      <c r="J38" s="6">
        <v>9049</v>
      </c>
      <c r="K38" s="6">
        <v>9049</v>
      </c>
      <c r="L38" s="6">
        <v>9049</v>
      </c>
      <c r="M38" s="6">
        <v>9049</v>
      </c>
      <c r="N38" s="6">
        <v>9049</v>
      </c>
      <c r="O38" s="6">
        <v>9049</v>
      </c>
      <c r="P38" s="6">
        <v>9049</v>
      </c>
      <c r="Q38" s="6">
        <v>9049</v>
      </c>
      <c r="R38" s="6">
        <v>9049</v>
      </c>
      <c r="S38" s="6">
        <v>9049</v>
      </c>
      <c r="T38" s="6">
        <v>9049</v>
      </c>
      <c r="U38" s="6">
        <v>9049</v>
      </c>
      <c r="V38" s="6">
        <v>9049</v>
      </c>
      <c r="W38" s="6">
        <v>9049</v>
      </c>
      <c r="X38" s="6">
        <v>9049</v>
      </c>
      <c r="Y38" s="6">
        <v>9049</v>
      </c>
      <c r="Z38" s="6">
        <v>9049</v>
      </c>
      <c r="AA38" s="6">
        <v>9049</v>
      </c>
      <c r="AB38" s="6">
        <v>9049</v>
      </c>
      <c r="AC38" s="6">
        <v>9049</v>
      </c>
      <c r="AD38" s="6">
        <v>9049</v>
      </c>
      <c r="AE38" s="6">
        <v>9049</v>
      </c>
      <c r="AF38" s="6">
        <v>9049</v>
      </c>
      <c r="AG38" s="6">
        <v>9049</v>
      </c>
      <c r="AH38" s="6">
        <v>9049</v>
      </c>
    </row>
    <row r="40" spans="1:34" x14ac:dyDescent="0.25">
      <c r="A40" t="s">
        <v>216</v>
      </c>
      <c r="B40" t="s">
        <v>215</v>
      </c>
      <c r="C40">
        <v>2019</v>
      </c>
      <c r="D40">
        <v>2020</v>
      </c>
      <c r="E40">
        <v>2021</v>
      </c>
      <c r="F40">
        <v>2022</v>
      </c>
      <c r="G40">
        <v>2023</v>
      </c>
      <c r="H40">
        <v>2024</v>
      </c>
      <c r="I40">
        <v>2025</v>
      </c>
      <c r="J40">
        <v>2026</v>
      </c>
      <c r="K40">
        <v>2027</v>
      </c>
      <c r="L40">
        <v>2028</v>
      </c>
      <c r="M40">
        <v>2029</v>
      </c>
      <c r="N40">
        <v>2030</v>
      </c>
      <c r="O40">
        <v>2031</v>
      </c>
      <c r="P40">
        <v>2032</v>
      </c>
      <c r="Q40">
        <v>2033</v>
      </c>
      <c r="R40">
        <v>2034</v>
      </c>
      <c r="S40">
        <v>2035</v>
      </c>
      <c r="T40">
        <v>2036</v>
      </c>
      <c r="U40">
        <v>2037</v>
      </c>
      <c r="V40">
        <v>2038</v>
      </c>
      <c r="W40">
        <v>2039</v>
      </c>
      <c r="X40">
        <v>2040</v>
      </c>
      <c r="Y40">
        <v>2041</v>
      </c>
      <c r="Z40">
        <v>2042</v>
      </c>
      <c r="AA40">
        <v>2043</v>
      </c>
      <c r="AB40">
        <v>2044</v>
      </c>
      <c r="AC40">
        <v>2045</v>
      </c>
      <c r="AD40">
        <v>2046</v>
      </c>
      <c r="AE40">
        <v>2047</v>
      </c>
      <c r="AF40">
        <v>2048</v>
      </c>
      <c r="AG40">
        <v>2049</v>
      </c>
      <c r="AH40">
        <v>2050</v>
      </c>
    </row>
    <row r="41" spans="1:34" x14ac:dyDescent="0.25">
      <c r="A41" t="s">
        <v>6</v>
      </c>
      <c r="B41" t="s">
        <v>198</v>
      </c>
      <c r="C41" s="6">
        <v>106119</v>
      </c>
      <c r="D41" s="6">
        <v>105312</v>
      </c>
      <c r="E41" s="6">
        <v>103586</v>
      </c>
      <c r="F41" s="6">
        <v>101944</v>
      </c>
      <c r="G41" s="6">
        <v>99591</v>
      </c>
      <c r="H41" s="6">
        <v>96441</v>
      </c>
      <c r="I41" s="6">
        <v>77152</v>
      </c>
      <c r="J41" s="6">
        <v>73211</v>
      </c>
      <c r="K41" s="6">
        <v>69219</v>
      </c>
      <c r="L41" s="6">
        <v>65218</v>
      </c>
      <c r="M41" s="6">
        <v>61120</v>
      </c>
      <c r="N41" s="6">
        <v>52587</v>
      </c>
      <c r="O41" s="6">
        <v>48869</v>
      </c>
      <c r="P41" s="6">
        <v>45369</v>
      </c>
      <c r="Q41" s="6">
        <v>42035</v>
      </c>
      <c r="R41" s="6">
        <v>38664</v>
      </c>
      <c r="S41" s="6">
        <v>35676</v>
      </c>
      <c r="T41" s="6">
        <v>33711</v>
      </c>
      <c r="U41" s="6">
        <v>31814</v>
      </c>
      <c r="V41" s="6">
        <v>30016</v>
      </c>
      <c r="W41" s="6">
        <v>28491</v>
      </c>
      <c r="X41" s="6">
        <v>27107</v>
      </c>
      <c r="Y41" s="6">
        <v>26343</v>
      </c>
      <c r="Z41" s="6">
        <v>25648</v>
      </c>
      <c r="AA41" s="6">
        <v>25004</v>
      </c>
      <c r="AB41" s="6">
        <v>24413</v>
      </c>
      <c r="AC41" s="6">
        <v>22667</v>
      </c>
      <c r="AD41" s="6">
        <v>22202</v>
      </c>
      <c r="AE41" s="6">
        <v>21780</v>
      </c>
      <c r="AF41" s="6">
        <v>21394</v>
      </c>
      <c r="AG41" s="6">
        <v>21036</v>
      </c>
      <c r="AH41" s="6">
        <v>20700</v>
      </c>
    </row>
    <row r="42" spans="1:34" x14ac:dyDescent="0.25">
      <c r="A42" t="s">
        <v>6</v>
      </c>
      <c r="B42" t="s">
        <v>199</v>
      </c>
      <c r="C42" s="6">
        <v>0</v>
      </c>
      <c r="D42" s="6">
        <v>-3</v>
      </c>
      <c r="E42" s="6">
        <v>500</v>
      </c>
      <c r="F42" s="6">
        <v>981</v>
      </c>
      <c r="G42" s="6">
        <v>1439</v>
      </c>
      <c r="H42" s="6">
        <v>1874</v>
      </c>
      <c r="I42" s="6">
        <v>2289</v>
      </c>
      <c r="J42" s="6">
        <v>2675</v>
      </c>
      <c r="K42" s="6">
        <v>3037</v>
      </c>
      <c r="L42" s="6">
        <v>3385</v>
      </c>
      <c r="M42" s="6">
        <v>3720</v>
      </c>
      <c r="N42" s="6">
        <v>4046</v>
      </c>
      <c r="O42" s="6">
        <v>4360</v>
      </c>
      <c r="P42" s="6">
        <v>4669</v>
      </c>
      <c r="Q42" s="6">
        <v>4973</v>
      </c>
      <c r="R42" s="6">
        <v>5271</v>
      </c>
      <c r="S42" s="6">
        <v>5564</v>
      </c>
      <c r="T42" s="6">
        <v>5412</v>
      </c>
      <c r="U42" s="6">
        <v>5267</v>
      </c>
      <c r="V42" s="6">
        <v>5128</v>
      </c>
      <c r="W42" s="6">
        <v>5076</v>
      </c>
      <c r="X42" s="6">
        <v>5025</v>
      </c>
      <c r="Y42" s="6">
        <v>4974</v>
      </c>
      <c r="Z42" s="6">
        <v>4924</v>
      </c>
      <c r="AA42" s="6">
        <v>4876</v>
      </c>
      <c r="AB42" s="6">
        <v>4829</v>
      </c>
      <c r="AC42" s="6">
        <v>4782</v>
      </c>
      <c r="AD42" s="6">
        <v>4741</v>
      </c>
      <c r="AE42" s="6">
        <v>4701</v>
      </c>
      <c r="AF42" s="6">
        <v>4663</v>
      </c>
      <c r="AG42" s="6">
        <v>4626</v>
      </c>
      <c r="AH42" s="6">
        <v>4589</v>
      </c>
    </row>
    <row r="43" spans="1:34" x14ac:dyDescent="0.25">
      <c r="A43" t="s">
        <v>6</v>
      </c>
      <c r="B43" t="s">
        <v>50</v>
      </c>
      <c r="C43" s="6">
        <v>0</v>
      </c>
      <c r="D43" s="6">
        <v>0</v>
      </c>
      <c r="E43" s="6">
        <v>0</v>
      </c>
      <c r="F43" s="6">
        <v>0</v>
      </c>
      <c r="G43" s="6">
        <v>107</v>
      </c>
      <c r="H43" s="6">
        <v>421</v>
      </c>
      <c r="I43" s="6">
        <v>719</v>
      </c>
      <c r="J43" s="6">
        <v>1163</v>
      </c>
      <c r="K43" s="6">
        <v>1591</v>
      </c>
      <c r="L43" s="6">
        <v>2000</v>
      </c>
      <c r="M43" s="6">
        <v>2376</v>
      </c>
      <c r="N43" s="6">
        <v>2734</v>
      </c>
      <c r="O43" s="6">
        <v>3166</v>
      </c>
      <c r="P43" s="6">
        <v>3580</v>
      </c>
      <c r="Q43" s="6">
        <v>3980</v>
      </c>
      <c r="R43" s="6">
        <v>4369</v>
      </c>
      <c r="S43" s="6">
        <v>4763</v>
      </c>
      <c r="T43" s="6">
        <v>4821</v>
      </c>
      <c r="U43" s="6">
        <v>4891</v>
      </c>
      <c r="V43" s="6">
        <v>4972</v>
      </c>
      <c r="W43" s="6">
        <v>5063</v>
      </c>
      <c r="X43" s="6">
        <v>5163</v>
      </c>
      <c r="Y43" s="6">
        <v>4997</v>
      </c>
      <c r="Z43" s="6">
        <v>4826</v>
      </c>
      <c r="AA43" s="6">
        <v>4670</v>
      </c>
      <c r="AB43" s="6">
        <v>4521</v>
      </c>
      <c r="AC43" s="6">
        <v>4404</v>
      </c>
      <c r="AD43" s="6">
        <v>4283</v>
      </c>
      <c r="AE43" s="6">
        <v>4167</v>
      </c>
      <c r="AF43" s="6">
        <v>4055</v>
      </c>
      <c r="AG43" s="6">
        <v>3935</v>
      </c>
      <c r="AH43" s="6">
        <v>3840</v>
      </c>
    </row>
    <row r="44" spans="1:34" x14ac:dyDescent="0.25">
      <c r="A44" t="s">
        <v>6</v>
      </c>
      <c r="B44" t="s">
        <v>212</v>
      </c>
      <c r="C44" s="6">
        <v>0</v>
      </c>
      <c r="D44" s="6">
        <v>0</v>
      </c>
      <c r="E44" s="6">
        <v>0</v>
      </c>
      <c r="F44" s="6">
        <v>1</v>
      </c>
      <c r="G44" s="6">
        <v>225</v>
      </c>
      <c r="H44" s="6">
        <v>450</v>
      </c>
      <c r="I44" s="6">
        <v>665</v>
      </c>
      <c r="J44" s="6">
        <v>873</v>
      </c>
      <c r="K44" s="6">
        <v>1075</v>
      </c>
      <c r="L44" s="6">
        <v>1271</v>
      </c>
      <c r="M44" s="6">
        <v>1462</v>
      </c>
      <c r="N44" s="6">
        <v>1648</v>
      </c>
      <c r="O44" s="6">
        <v>2061</v>
      </c>
      <c r="P44" s="6">
        <v>2463</v>
      </c>
      <c r="Q44" s="6">
        <v>2855</v>
      </c>
      <c r="R44" s="6">
        <v>3237</v>
      </c>
      <c r="S44" s="6">
        <v>3611</v>
      </c>
      <c r="T44" s="6">
        <v>3808</v>
      </c>
      <c r="U44" s="6">
        <v>4001</v>
      </c>
      <c r="V44" s="6">
        <v>4191</v>
      </c>
      <c r="W44" s="6">
        <v>4376</v>
      </c>
      <c r="X44" s="6">
        <v>4558</v>
      </c>
      <c r="Y44" s="6">
        <v>4731</v>
      </c>
      <c r="Z44" s="6">
        <v>4901</v>
      </c>
      <c r="AA44" s="6">
        <v>5067</v>
      </c>
      <c r="AB44" s="6">
        <v>5229</v>
      </c>
      <c r="AC44" s="6">
        <v>5389</v>
      </c>
      <c r="AD44" s="6">
        <v>5541</v>
      </c>
      <c r="AE44" s="6">
        <v>5690</v>
      </c>
      <c r="AF44" s="6">
        <v>5835</v>
      </c>
      <c r="AG44" s="6">
        <v>5978</v>
      </c>
      <c r="AH44" s="6">
        <v>6117</v>
      </c>
    </row>
    <row r="45" spans="1:34" x14ac:dyDescent="0.25">
      <c r="A45" t="s">
        <v>6</v>
      </c>
      <c r="B45" t="s">
        <v>201</v>
      </c>
      <c r="C45" s="6">
        <v>0</v>
      </c>
      <c r="D45" s="6">
        <v>0</v>
      </c>
      <c r="E45" s="6">
        <v>0</v>
      </c>
      <c r="F45" s="6">
        <v>0</v>
      </c>
      <c r="G45" s="6">
        <v>1</v>
      </c>
      <c r="H45" s="6">
        <v>30</v>
      </c>
      <c r="I45" s="6">
        <v>80</v>
      </c>
      <c r="J45" s="6">
        <v>147</v>
      </c>
      <c r="K45" s="6">
        <v>230</v>
      </c>
      <c r="L45" s="6">
        <v>331</v>
      </c>
      <c r="M45" s="6">
        <v>562</v>
      </c>
      <c r="N45" s="6">
        <v>814</v>
      </c>
      <c r="O45" s="6">
        <v>1065</v>
      </c>
      <c r="P45" s="6">
        <v>1293</v>
      </c>
      <c r="Q45" s="6">
        <v>1486</v>
      </c>
      <c r="R45" s="6">
        <v>1635</v>
      </c>
      <c r="S45" s="6">
        <v>1765</v>
      </c>
      <c r="T45" s="6">
        <v>1855</v>
      </c>
      <c r="U45" s="6">
        <v>1910</v>
      </c>
      <c r="V45" s="6">
        <v>1926</v>
      </c>
      <c r="W45" s="6">
        <v>1902</v>
      </c>
      <c r="X45" s="6">
        <v>1871</v>
      </c>
      <c r="Y45" s="6">
        <v>1871</v>
      </c>
      <c r="Z45" s="6">
        <v>1868</v>
      </c>
      <c r="AA45" s="6">
        <v>1849</v>
      </c>
      <c r="AB45" s="6">
        <v>1821</v>
      </c>
      <c r="AC45" s="6">
        <v>1825</v>
      </c>
      <c r="AD45" s="6">
        <v>1814</v>
      </c>
      <c r="AE45" s="6">
        <v>1804</v>
      </c>
      <c r="AF45" s="6">
        <v>1795</v>
      </c>
      <c r="AG45" s="6">
        <v>1773</v>
      </c>
      <c r="AH45" s="6">
        <v>1778</v>
      </c>
    </row>
    <row r="46" spans="1:34" x14ac:dyDescent="0.25">
      <c r="A46" t="s">
        <v>6</v>
      </c>
      <c r="B46" t="s">
        <v>202</v>
      </c>
      <c r="C46" s="6">
        <v>0</v>
      </c>
      <c r="D46" s="6">
        <v>0</v>
      </c>
      <c r="E46" s="6">
        <v>0</v>
      </c>
      <c r="F46" s="6">
        <v>0</v>
      </c>
      <c r="G46" s="6">
        <v>270</v>
      </c>
      <c r="H46" s="6">
        <v>484</v>
      </c>
      <c r="I46" s="6">
        <v>640</v>
      </c>
      <c r="J46" s="6">
        <v>740</v>
      </c>
      <c r="K46" s="6">
        <v>782</v>
      </c>
      <c r="L46" s="6">
        <v>768</v>
      </c>
      <c r="M46" s="6">
        <v>697</v>
      </c>
      <c r="N46" s="6">
        <v>569</v>
      </c>
      <c r="O46" s="6">
        <v>597</v>
      </c>
      <c r="P46" s="6">
        <v>616</v>
      </c>
      <c r="Q46" s="6">
        <v>626</v>
      </c>
      <c r="R46" s="6">
        <v>626</v>
      </c>
      <c r="S46" s="6">
        <v>617</v>
      </c>
      <c r="T46" s="6">
        <v>555</v>
      </c>
      <c r="U46" s="6">
        <v>493</v>
      </c>
      <c r="V46" s="6">
        <v>431</v>
      </c>
      <c r="W46" s="6">
        <v>370</v>
      </c>
      <c r="X46" s="6">
        <v>308</v>
      </c>
      <c r="Y46" s="6">
        <v>247</v>
      </c>
      <c r="Z46" s="6">
        <v>185</v>
      </c>
      <c r="AA46" s="6">
        <v>123</v>
      </c>
      <c r="AB46" s="6">
        <v>62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</row>
    <row r="47" spans="1:34" x14ac:dyDescent="0.25">
      <c r="A47" t="s">
        <v>6</v>
      </c>
      <c r="B47" t="s">
        <v>214</v>
      </c>
      <c r="C47" s="6">
        <v>0</v>
      </c>
      <c r="D47" s="6">
        <v>0</v>
      </c>
      <c r="E47" s="6">
        <v>0</v>
      </c>
      <c r="F47" s="6">
        <v>-279</v>
      </c>
      <c r="G47" s="6">
        <v>-479</v>
      </c>
      <c r="H47" s="6">
        <v>-713</v>
      </c>
      <c r="I47" s="6">
        <v>-867</v>
      </c>
      <c r="J47" s="6">
        <v>-947</v>
      </c>
      <c r="K47" s="6">
        <v>-958</v>
      </c>
      <c r="L47" s="6">
        <v>-906</v>
      </c>
      <c r="M47" s="6">
        <v>-791</v>
      </c>
      <c r="N47" s="6">
        <v>-623</v>
      </c>
      <c r="O47" s="6">
        <v>-658</v>
      </c>
      <c r="P47" s="6">
        <v>-678</v>
      </c>
      <c r="Q47" s="6">
        <v>-685</v>
      </c>
      <c r="R47" s="6">
        <v>-679</v>
      </c>
      <c r="S47" s="6">
        <v>-663</v>
      </c>
      <c r="T47" s="6">
        <v>-606</v>
      </c>
      <c r="U47" s="6">
        <v>-547</v>
      </c>
      <c r="V47" s="6">
        <v>-487</v>
      </c>
      <c r="W47" s="6">
        <v>-425</v>
      </c>
      <c r="X47" s="6">
        <v>-360</v>
      </c>
      <c r="Y47" s="6">
        <v>-294</v>
      </c>
      <c r="Z47" s="6">
        <v>-225</v>
      </c>
      <c r="AA47" s="6">
        <v>-152</v>
      </c>
      <c r="AB47" s="6">
        <v>-78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</row>
    <row r="48" spans="1:34" x14ac:dyDescent="0.25">
      <c r="A48" t="s">
        <v>6</v>
      </c>
      <c r="B48" t="s">
        <v>203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259</v>
      </c>
      <c r="J48" s="6">
        <v>506</v>
      </c>
      <c r="K48" s="6">
        <v>742</v>
      </c>
      <c r="L48" s="6">
        <v>966</v>
      </c>
      <c r="M48" s="6">
        <v>1179</v>
      </c>
      <c r="N48" s="6">
        <v>1382</v>
      </c>
      <c r="O48" s="6">
        <v>1590</v>
      </c>
      <c r="P48" s="6">
        <v>1791</v>
      </c>
      <c r="Q48" s="6">
        <v>1986</v>
      </c>
      <c r="R48" s="6">
        <v>2177</v>
      </c>
      <c r="S48" s="6">
        <v>2361</v>
      </c>
      <c r="T48" s="6">
        <v>2542</v>
      </c>
      <c r="U48" s="6">
        <v>2718</v>
      </c>
      <c r="V48" s="6">
        <v>2889</v>
      </c>
      <c r="W48" s="6">
        <v>3058</v>
      </c>
      <c r="X48" s="6">
        <v>3973</v>
      </c>
      <c r="Y48" s="6">
        <v>4134</v>
      </c>
      <c r="Z48" s="6">
        <v>3531</v>
      </c>
      <c r="AA48" s="6">
        <v>3679</v>
      </c>
      <c r="AB48" s="6">
        <v>3824</v>
      </c>
      <c r="AC48" s="6">
        <v>3965</v>
      </c>
      <c r="AD48" s="6">
        <v>4108</v>
      </c>
      <c r="AE48" s="6">
        <v>4247</v>
      </c>
      <c r="AF48" s="6">
        <v>4383</v>
      </c>
      <c r="AG48" s="6">
        <v>4516</v>
      </c>
      <c r="AH48" s="6">
        <v>4647</v>
      </c>
    </row>
    <row r="49" spans="1:34" x14ac:dyDescent="0.25">
      <c r="A49" t="s">
        <v>6</v>
      </c>
      <c r="B49" t="s">
        <v>170</v>
      </c>
      <c r="C49" s="6">
        <v>0</v>
      </c>
      <c r="D49" s="6">
        <v>0</v>
      </c>
      <c r="E49" s="6">
        <v>0</v>
      </c>
      <c r="F49" s="6">
        <v>0</v>
      </c>
      <c r="G49" s="6">
        <v>21</v>
      </c>
      <c r="H49" s="6">
        <v>146</v>
      </c>
      <c r="I49" s="6">
        <v>275</v>
      </c>
      <c r="J49" s="6">
        <v>408</v>
      </c>
      <c r="K49" s="6">
        <v>546</v>
      </c>
      <c r="L49" s="6">
        <v>689</v>
      </c>
      <c r="M49" s="6">
        <v>836</v>
      </c>
      <c r="N49" s="6">
        <v>988</v>
      </c>
      <c r="O49" s="6">
        <v>1115</v>
      </c>
      <c r="P49" s="6">
        <v>1242</v>
      </c>
      <c r="Q49" s="6">
        <v>1366</v>
      </c>
      <c r="R49" s="6">
        <v>1486</v>
      </c>
      <c r="S49" s="6">
        <v>1605</v>
      </c>
      <c r="T49" s="6">
        <v>1722</v>
      </c>
      <c r="U49" s="6">
        <v>1836</v>
      </c>
      <c r="V49" s="6">
        <v>1948</v>
      </c>
      <c r="W49" s="6">
        <v>2087</v>
      </c>
      <c r="X49" s="6">
        <v>1476</v>
      </c>
      <c r="Y49" s="6">
        <v>1484</v>
      </c>
      <c r="Z49" s="6">
        <v>2251</v>
      </c>
      <c r="AA49" s="6">
        <v>2263</v>
      </c>
      <c r="AB49" s="6">
        <v>2275</v>
      </c>
      <c r="AC49" s="6">
        <v>2287</v>
      </c>
      <c r="AD49" s="6">
        <v>2287</v>
      </c>
      <c r="AE49" s="6">
        <v>2287</v>
      </c>
      <c r="AF49" s="6">
        <v>2287</v>
      </c>
      <c r="AG49" s="6">
        <v>2287</v>
      </c>
      <c r="AH49" s="6">
        <v>2287</v>
      </c>
    </row>
    <row r="50" spans="1:34" x14ac:dyDescent="0.25">
      <c r="A50" t="s">
        <v>6</v>
      </c>
      <c r="B50" t="s">
        <v>204</v>
      </c>
      <c r="C50" s="6">
        <v>0</v>
      </c>
      <c r="D50" s="6">
        <v>0</v>
      </c>
      <c r="E50" s="6">
        <v>23</v>
      </c>
      <c r="F50" s="6">
        <v>44</v>
      </c>
      <c r="G50" s="6">
        <v>144</v>
      </c>
      <c r="H50" s="6">
        <v>290</v>
      </c>
      <c r="I50" s="6">
        <v>432</v>
      </c>
      <c r="J50" s="6">
        <v>567</v>
      </c>
      <c r="K50" s="6">
        <v>693</v>
      </c>
      <c r="L50" s="6">
        <v>800</v>
      </c>
      <c r="M50" s="6">
        <v>881</v>
      </c>
      <c r="N50" s="6">
        <v>942</v>
      </c>
      <c r="O50" s="6">
        <v>1059</v>
      </c>
      <c r="P50" s="6">
        <v>1168</v>
      </c>
      <c r="Q50" s="6">
        <v>1269</v>
      </c>
      <c r="R50" s="6">
        <v>1356</v>
      </c>
      <c r="S50" s="6">
        <v>1468</v>
      </c>
      <c r="T50" s="6">
        <v>1574</v>
      </c>
      <c r="U50" s="6">
        <v>1683</v>
      </c>
      <c r="V50" s="6">
        <v>1794</v>
      </c>
      <c r="W50" s="6">
        <v>1882</v>
      </c>
      <c r="X50" s="6">
        <v>1999</v>
      </c>
      <c r="Y50" s="6">
        <v>1885</v>
      </c>
      <c r="Z50" s="6">
        <v>1766</v>
      </c>
      <c r="AA50" s="6">
        <v>1661</v>
      </c>
      <c r="AB50" s="6">
        <v>1530</v>
      </c>
      <c r="AC50" s="6">
        <v>1443</v>
      </c>
      <c r="AD50" s="6">
        <v>1399</v>
      </c>
      <c r="AE50" s="6">
        <v>1359</v>
      </c>
      <c r="AF50" s="6">
        <v>1321</v>
      </c>
      <c r="AG50" s="6">
        <v>1263</v>
      </c>
      <c r="AH50" s="6">
        <v>1250</v>
      </c>
    </row>
    <row r="51" spans="1:34" x14ac:dyDescent="0.25">
      <c r="A51" t="s">
        <v>6</v>
      </c>
      <c r="B51" t="s">
        <v>205</v>
      </c>
      <c r="C51" s="6">
        <v>0</v>
      </c>
      <c r="D51" s="6">
        <v>0</v>
      </c>
      <c r="E51" s="6">
        <v>150</v>
      </c>
      <c r="F51" s="6">
        <v>290</v>
      </c>
      <c r="G51" s="6">
        <v>420</v>
      </c>
      <c r="H51" s="6">
        <v>536</v>
      </c>
      <c r="I51" s="6">
        <v>627</v>
      </c>
      <c r="J51" s="6">
        <v>712</v>
      </c>
      <c r="K51" s="6">
        <v>777</v>
      </c>
      <c r="L51" s="6">
        <v>828</v>
      </c>
      <c r="M51" s="6">
        <v>864</v>
      </c>
      <c r="N51" s="6">
        <v>892</v>
      </c>
      <c r="O51" s="6">
        <v>920</v>
      </c>
      <c r="P51" s="6">
        <v>945</v>
      </c>
      <c r="Q51" s="6">
        <v>966</v>
      </c>
      <c r="R51" s="6">
        <v>971</v>
      </c>
      <c r="S51" s="6">
        <v>977</v>
      </c>
      <c r="T51" s="6">
        <v>956</v>
      </c>
      <c r="U51" s="6">
        <v>932</v>
      </c>
      <c r="V51" s="6">
        <v>908</v>
      </c>
      <c r="W51" s="6">
        <v>896</v>
      </c>
      <c r="X51" s="6">
        <v>887</v>
      </c>
      <c r="Y51" s="6">
        <v>879</v>
      </c>
      <c r="Z51" s="6">
        <v>871</v>
      </c>
      <c r="AA51" s="6">
        <v>864</v>
      </c>
      <c r="AB51" s="6">
        <v>858</v>
      </c>
      <c r="AC51" s="6">
        <v>852</v>
      </c>
      <c r="AD51" s="6">
        <v>851</v>
      </c>
      <c r="AE51" s="6">
        <v>852</v>
      </c>
      <c r="AF51" s="6">
        <v>853</v>
      </c>
      <c r="AG51" s="6">
        <v>854</v>
      </c>
      <c r="AH51" s="6">
        <v>853</v>
      </c>
    </row>
    <row r="52" spans="1:34" x14ac:dyDescent="0.25">
      <c r="A52" t="s">
        <v>6</v>
      </c>
      <c r="B52" t="s">
        <v>206</v>
      </c>
      <c r="C52" s="6">
        <v>0</v>
      </c>
      <c r="D52" s="6">
        <v>0</v>
      </c>
      <c r="E52" s="6">
        <v>157</v>
      </c>
      <c r="F52" s="6">
        <v>311</v>
      </c>
      <c r="G52" s="6">
        <v>463</v>
      </c>
      <c r="H52" s="6">
        <v>599</v>
      </c>
      <c r="I52" s="6">
        <v>686</v>
      </c>
      <c r="J52" s="6">
        <v>777</v>
      </c>
      <c r="K52" s="6">
        <v>841</v>
      </c>
      <c r="L52" s="6">
        <v>878</v>
      </c>
      <c r="M52" s="6">
        <v>890</v>
      </c>
      <c r="N52" s="6">
        <v>888</v>
      </c>
      <c r="O52" s="6">
        <v>893</v>
      </c>
      <c r="P52" s="6">
        <v>899</v>
      </c>
      <c r="Q52" s="6">
        <v>897</v>
      </c>
      <c r="R52" s="6">
        <v>863</v>
      </c>
      <c r="S52" s="6">
        <v>839</v>
      </c>
      <c r="T52" s="6">
        <v>792</v>
      </c>
      <c r="U52" s="6">
        <v>729</v>
      </c>
      <c r="V52" s="6">
        <v>655</v>
      </c>
      <c r="W52" s="6">
        <v>583</v>
      </c>
      <c r="X52" s="6">
        <v>509</v>
      </c>
      <c r="Y52" s="6">
        <v>409</v>
      </c>
      <c r="Z52" s="6">
        <v>318</v>
      </c>
      <c r="AA52" s="6">
        <v>238</v>
      </c>
      <c r="AB52" s="6">
        <v>170</v>
      </c>
      <c r="AC52" s="6">
        <v>114</v>
      </c>
      <c r="AD52" s="6">
        <v>81</v>
      </c>
      <c r="AE52" s="6">
        <v>58</v>
      </c>
      <c r="AF52" s="6">
        <v>44</v>
      </c>
      <c r="AG52" s="6">
        <v>35</v>
      </c>
      <c r="AH52" s="6">
        <v>32</v>
      </c>
    </row>
    <row r="53" spans="1:34" x14ac:dyDescent="0.25">
      <c r="A53" t="s">
        <v>6</v>
      </c>
      <c r="B53" t="s">
        <v>207</v>
      </c>
      <c r="C53" s="6">
        <v>0</v>
      </c>
      <c r="D53" s="6">
        <v>0</v>
      </c>
      <c r="E53" s="6">
        <v>121</v>
      </c>
      <c r="F53" s="6">
        <v>233</v>
      </c>
      <c r="G53" s="6">
        <v>341</v>
      </c>
      <c r="H53" s="6">
        <v>435</v>
      </c>
      <c r="I53" s="6">
        <v>491</v>
      </c>
      <c r="J53" s="6">
        <v>549</v>
      </c>
      <c r="K53" s="6">
        <v>587</v>
      </c>
      <c r="L53" s="6">
        <v>603</v>
      </c>
      <c r="M53" s="6">
        <v>602</v>
      </c>
      <c r="N53" s="6">
        <v>595</v>
      </c>
      <c r="O53" s="6">
        <v>591</v>
      </c>
      <c r="P53" s="6">
        <v>585</v>
      </c>
      <c r="Q53" s="6">
        <v>576</v>
      </c>
      <c r="R53" s="6">
        <v>545</v>
      </c>
      <c r="S53" s="6">
        <v>522</v>
      </c>
      <c r="T53" s="6">
        <v>483</v>
      </c>
      <c r="U53" s="6">
        <v>435</v>
      </c>
      <c r="V53" s="6">
        <v>383</v>
      </c>
      <c r="W53" s="6">
        <v>333</v>
      </c>
      <c r="X53" s="6">
        <v>284</v>
      </c>
      <c r="Y53" s="6">
        <v>227</v>
      </c>
      <c r="Z53" s="6">
        <v>175</v>
      </c>
      <c r="AA53" s="6">
        <v>129</v>
      </c>
      <c r="AB53" s="6">
        <v>89</v>
      </c>
      <c r="AC53" s="6">
        <v>56</v>
      </c>
      <c r="AD53" s="6">
        <v>36</v>
      </c>
      <c r="AE53" s="6">
        <v>21</v>
      </c>
      <c r="AF53" s="6">
        <v>11</v>
      </c>
      <c r="AG53" s="6">
        <v>5</v>
      </c>
      <c r="AH53" s="6">
        <v>2</v>
      </c>
    </row>
    <row r="54" spans="1:34" x14ac:dyDescent="0.25">
      <c r="A54" t="s">
        <v>6</v>
      </c>
      <c r="B54" t="s">
        <v>208</v>
      </c>
      <c r="C54" s="6">
        <v>0</v>
      </c>
      <c r="D54" s="6">
        <v>100.3</v>
      </c>
      <c r="E54" s="6">
        <v>139.69999999999999</v>
      </c>
      <c r="F54" s="6">
        <v>202.7</v>
      </c>
      <c r="G54" s="6">
        <v>290</v>
      </c>
      <c r="H54" s="6">
        <v>401.7</v>
      </c>
      <c r="I54" s="6">
        <v>15843.47</v>
      </c>
      <c r="J54" s="6">
        <v>16148.51</v>
      </c>
      <c r="K54" s="6">
        <v>16466.25</v>
      </c>
      <c r="L54" s="6">
        <v>16794.95</v>
      </c>
      <c r="M54" s="6">
        <v>17133.900000000001</v>
      </c>
      <c r="N54" s="6">
        <v>22228</v>
      </c>
      <c r="O54" s="6">
        <v>22325.31</v>
      </c>
      <c r="P54" s="6">
        <v>22423.439999999999</v>
      </c>
      <c r="Q54" s="6">
        <v>22526.23</v>
      </c>
      <c r="R54" s="6">
        <v>22630.47</v>
      </c>
      <c r="S54" s="6">
        <v>22737.55</v>
      </c>
      <c r="T54" s="6">
        <v>22837.24</v>
      </c>
      <c r="U54" s="6">
        <v>22938.04</v>
      </c>
      <c r="V54" s="6">
        <v>23040.22</v>
      </c>
      <c r="W54" s="6">
        <v>23143.919999999998</v>
      </c>
      <c r="X54" s="6">
        <v>23248.85</v>
      </c>
      <c r="Y54" s="6">
        <v>23356.42</v>
      </c>
      <c r="Z54" s="6">
        <v>23464.98</v>
      </c>
      <c r="AA54" s="6">
        <v>23574.68</v>
      </c>
      <c r="AB54" s="6">
        <v>23685.63</v>
      </c>
      <c r="AC54" s="6">
        <v>25001.93</v>
      </c>
      <c r="AD54" s="6">
        <v>25048.23</v>
      </c>
      <c r="AE54" s="6">
        <v>25094.95</v>
      </c>
      <c r="AF54" s="6">
        <v>25141.87</v>
      </c>
      <c r="AG54" s="6">
        <v>25189.07</v>
      </c>
      <c r="AH54" s="6">
        <v>25236.3</v>
      </c>
    </row>
    <row r="55" spans="1:34" x14ac:dyDescent="0.25">
      <c r="A55" t="s">
        <v>6</v>
      </c>
      <c r="B55" t="s">
        <v>3</v>
      </c>
      <c r="C55" s="6">
        <v>0</v>
      </c>
      <c r="D55" s="6">
        <v>211.5</v>
      </c>
      <c r="E55" s="6">
        <v>1087</v>
      </c>
      <c r="F55" s="6">
        <v>1983.6</v>
      </c>
      <c r="G55" s="6">
        <v>2902.4</v>
      </c>
      <c r="H55" s="6">
        <v>4128.1000000000004</v>
      </c>
      <c r="I55" s="6">
        <v>5210.5</v>
      </c>
      <c r="J55" s="6">
        <v>6368.02</v>
      </c>
      <c r="K55" s="6">
        <v>7604.2</v>
      </c>
      <c r="L55" s="6">
        <v>8949.33</v>
      </c>
      <c r="M55" s="6">
        <v>10477.59</v>
      </c>
      <c r="N55" s="6">
        <v>12014.57</v>
      </c>
      <c r="O55" s="6">
        <v>13599.01</v>
      </c>
      <c r="P55" s="6">
        <v>15189.25</v>
      </c>
      <c r="Q55" s="6">
        <v>16772.89</v>
      </c>
      <c r="R55" s="6">
        <v>18434</v>
      </c>
      <c r="S55" s="6">
        <v>19863.68</v>
      </c>
      <c r="T55" s="6">
        <v>21312.18</v>
      </c>
      <c r="U55" s="6">
        <v>22741.98</v>
      </c>
      <c r="V55" s="6">
        <v>24126.81</v>
      </c>
      <c r="W55" s="6">
        <v>25196.41</v>
      </c>
      <c r="X55" s="6">
        <v>26121.02</v>
      </c>
      <c r="Y55" s="6">
        <v>27036.34</v>
      </c>
      <c r="Z55" s="6">
        <v>27876.95</v>
      </c>
      <c r="AA55" s="6">
        <v>28630.68</v>
      </c>
      <c r="AB55" s="6">
        <v>29348.33</v>
      </c>
      <c r="AC55" s="6">
        <v>29903.32</v>
      </c>
      <c r="AD55" s="6">
        <v>30417.82</v>
      </c>
      <c r="AE55" s="6">
        <v>30890.07</v>
      </c>
      <c r="AF55" s="6">
        <v>31333.17</v>
      </c>
      <c r="AG55" s="6">
        <v>31803.93</v>
      </c>
      <c r="AH55" s="6">
        <v>32165.23</v>
      </c>
    </row>
    <row r="56" spans="1:34" x14ac:dyDescent="0.25">
      <c r="A56" t="s">
        <v>6</v>
      </c>
      <c r="B56" t="s">
        <v>209</v>
      </c>
      <c r="C56" s="6">
        <v>49770</v>
      </c>
      <c r="D56" s="6">
        <v>49770</v>
      </c>
      <c r="E56" s="6">
        <v>49770</v>
      </c>
      <c r="F56" s="6">
        <v>49770</v>
      </c>
      <c r="G56" s="6">
        <v>49770</v>
      </c>
      <c r="H56" s="6">
        <v>49770</v>
      </c>
      <c r="I56" s="6">
        <v>49770</v>
      </c>
      <c r="J56" s="6">
        <v>49770</v>
      </c>
      <c r="K56" s="6">
        <v>49770</v>
      </c>
      <c r="L56" s="6">
        <v>49770</v>
      </c>
      <c r="M56" s="6">
        <v>49770</v>
      </c>
      <c r="N56" s="6">
        <v>49770</v>
      </c>
      <c r="O56" s="6">
        <v>49770</v>
      </c>
      <c r="P56" s="6">
        <v>49770</v>
      </c>
      <c r="Q56" s="6">
        <v>49770</v>
      </c>
      <c r="R56" s="6">
        <v>49770</v>
      </c>
      <c r="S56" s="6">
        <v>49770</v>
      </c>
      <c r="T56" s="6">
        <v>49770</v>
      </c>
      <c r="U56" s="6">
        <v>49770</v>
      </c>
      <c r="V56" s="6">
        <v>49770</v>
      </c>
      <c r="W56" s="6">
        <v>49770</v>
      </c>
      <c r="X56" s="6">
        <v>49770</v>
      </c>
      <c r="Y56" s="6">
        <v>49770</v>
      </c>
      <c r="Z56" s="6">
        <v>49770</v>
      </c>
      <c r="AA56" s="6">
        <v>49770</v>
      </c>
      <c r="AB56" s="6">
        <v>49770</v>
      </c>
      <c r="AC56" s="6">
        <v>49770</v>
      </c>
      <c r="AD56" s="6">
        <v>49770</v>
      </c>
      <c r="AE56" s="6">
        <v>49770</v>
      </c>
      <c r="AF56" s="6">
        <v>49770</v>
      </c>
      <c r="AG56" s="6">
        <v>49770</v>
      </c>
      <c r="AH56" s="6">
        <v>49770</v>
      </c>
    </row>
    <row r="57" spans="1:34" x14ac:dyDescent="0.25">
      <c r="A57" t="s">
        <v>6</v>
      </c>
      <c r="B57" t="s">
        <v>210</v>
      </c>
      <c r="C57" s="6">
        <v>27147</v>
      </c>
      <c r="D57" s="6">
        <v>27147</v>
      </c>
      <c r="E57" s="6">
        <v>27147</v>
      </c>
      <c r="F57" s="6">
        <v>27147</v>
      </c>
      <c r="G57" s="6">
        <v>27147</v>
      </c>
      <c r="H57" s="6">
        <v>27147</v>
      </c>
      <c r="I57" s="6">
        <v>27147</v>
      </c>
      <c r="J57" s="6">
        <v>27147</v>
      </c>
      <c r="K57" s="6">
        <v>27147</v>
      </c>
      <c r="L57" s="6">
        <v>27147</v>
      </c>
      <c r="M57" s="6">
        <v>27147</v>
      </c>
      <c r="N57" s="6">
        <v>27147</v>
      </c>
      <c r="O57" s="6">
        <v>27147</v>
      </c>
      <c r="P57" s="6">
        <v>27147</v>
      </c>
      <c r="Q57" s="6">
        <v>27147</v>
      </c>
      <c r="R57" s="6">
        <v>27147</v>
      </c>
      <c r="S57" s="6">
        <v>27147</v>
      </c>
      <c r="T57" s="6">
        <v>27147</v>
      </c>
      <c r="U57" s="6">
        <v>27147</v>
      </c>
      <c r="V57" s="6">
        <v>27147</v>
      </c>
      <c r="W57" s="6">
        <v>27147</v>
      </c>
      <c r="X57" s="6">
        <v>27147</v>
      </c>
      <c r="Y57" s="6">
        <v>27147</v>
      </c>
      <c r="Z57" s="6">
        <v>27147</v>
      </c>
      <c r="AA57" s="6">
        <v>27147</v>
      </c>
      <c r="AB57" s="6">
        <v>27147</v>
      </c>
      <c r="AC57" s="6">
        <v>27147</v>
      </c>
      <c r="AD57" s="6">
        <v>27147</v>
      </c>
      <c r="AE57" s="6">
        <v>27147</v>
      </c>
      <c r="AF57" s="6">
        <v>27147</v>
      </c>
      <c r="AG57" s="6">
        <v>27147</v>
      </c>
      <c r="AH57" s="6">
        <v>27147</v>
      </c>
    </row>
    <row r="58" spans="1:34" x14ac:dyDescent="0.25">
      <c r="A58" t="s">
        <v>6</v>
      </c>
      <c r="B58" t="s">
        <v>211</v>
      </c>
      <c r="C58" s="6">
        <v>9049</v>
      </c>
      <c r="D58" s="6">
        <v>9049</v>
      </c>
      <c r="E58" s="6">
        <v>9049</v>
      </c>
      <c r="F58" s="6">
        <v>9049</v>
      </c>
      <c r="G58" s="6">
        <v>9049</v>
      </c>
      <c r="H58" s="6">
        <v>9049</v>
      </c>
      <c r="I58" s="6">
        <v>9049</v>
      </c>
      <c r="J58" s="6">
        <v>9049</v>
      </c>
      <c r="K58" s="6">
        <v>9049</v>
      </c>
      <c r="L58" s="6">
        <v>9049</v>
      </c>
      <c r="M58" s="6">
        <v>9049</v>
      </c>
      <c r="N58" s="6">
        <v>9049</v>
      </c>
      <c r="O58" s="6">
        <v>9049</v>
      </c>
      <c r="P58" s="6">
        <v>9049</v>
      </c>
      <c r="Q58" s="6">
        <v>9049</v>
      </c>
      <c r="R58" s="6">
        <v>9049</v>
      </c>
      <c r="S58" s="6">
        <v>9049</v>
      </c>
      <c r="T58" s="6">
        <v>9049</v>
      </c>
      <c r="U58" s="6">
        <v>9049</v>
      </c>
      <c r="V58" s="6">
        <v>9049</v>
      </c>
      <c r="W58" s="6">
        <v>9049</v>
      </c>
      <c r="X58" s="6">
        <v>9049</v>
      </c>
      <c r="Y58" s="6">
        <v>9049</v>
      </c>
      <c r="Z58" s="6">
        <v>9049</v>
      </c>
      <c r="AA58" s="6">
        <v>9049</v>
      </c>
      <c r="AB58" s="6">
        <v>9049</v>
      </c>
      <c r="AC58" s="6">
        <v>9049</v>
      </c>
      <c r="AD58" s="6">
        <v>9049</v>
      </c>
      <c r="AE58" s="6">
        <v>9049</v>
      </c>
      <c r="AF58" s="6">
        <v>9049</v>
      </c>
      <c r="AG58" s="6">
        <v>9049</v>
      </c>
      <c r="AH58" s="6">
        <v>9049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workbookViewId="0"/>
  </sheetViews>
  <sheetFormatPr defaultRowHeight="15" x14ac:dyDescent="0.25"/>
  <cols>
    <col min="1" max="1" width="25.7109375" customWidth="1"/>
  </cols>
  <sheetData>
    <row r="1" spans="1:2" x14ac:dyDescent="0.25">
      <c r="A1" t="s">
        <v>187</v>
      </c>
      <c r="B1" t="s">
        <v>188</v>
      </c>
    </row>
    <row r="2" spans="1:2" x14ac:dyDescent="0.25">
      <c r="A2" t="s">
        <v>189</v>
      </c>
      <c r="B2" t="s">
        <v>190</v>
      </c>
    </row>
    <row r="3" spans="1:2" x14ac:dyDescent="0.25">
      <c r="A3" t="s">
        <v>191</v>
      </c>
      <c r="B3" t="s">
        <v>192</v>
      </c>
    </row>
    <row r="4" spans="1:2" x14ac:dyDescent="0.25">
      <c r="A4" t="s">
        <v>193</v>
      </c>
      <c r="B4">
        <v>161</v>
      </c>
    </row>
    <row r="5" spans="1:2" x14ac:dyDescent="0.25">
      <c r="A5" t="s">
        <v>194</v>
      </c>
      <c r="B5">
        <v>128</v>
      </c>
    </row>
    <row r="6" spans="1:2" x14ac:dyDescent="0.25">
      <c r="A6" t="s">
        <v>195</v>
      </c>
      <c r="B6">
        <v>164</v>
      </c>
    </row>
    <row r="7" spans="1:2" x14ac:dyDescent="0.25">
      <c r="A7" t="s">
        <v>196</v>
      </c>
      <c r="B7">
        <v>95</v>
      </c>
    </row>
    <row r="8" spans="1:2" x14ac:dyDescent="0.25">
      <c r="A8" t="s">
        <v>197</v>
      </c>
      <c r="B8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"/>
  <sheetViews>
    <sheetView workbookViewId="0"/>
  </sheetViews>
  <sheetFormatPr defaultRowHeight="15" x14ac:dyDescent="0.25"/>
  <sheetData>
    <row r="3" spans="2:2" x14ac:dyDescent="0.25">
      <c r="B3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B116"/>
  <sheetViews>
    <sheetView workbookViewId="0"/>
  </sheetViews>
  <sheetFormatPr defaultRowHeight="15" x14ac:dyDescent="0.25"/>
  <sheetData>
    <row r="3" spans="2:54" x14ac:dyDescent="0.25">
      <c r="B3" t="s">
        <v>70</v>
      </c>
      <c r="J3" t="s">
        <v>72</v>
      </c>
      <c r="U3" t="s">
        <v>74</v>
      </c>
      <c r="AF3" t="s">
        <v>76</v>
      </c>
      <c r="AR3" t="s">
        <v>78</v>
      </c>
      <c r="BB3" t="s">
        <v>80</v>
      </c>
    </row>
    <row r="21" spans="10:54" x14ac:dyDescent="0.25">
      <c r="J21" t="s">
        <v>73</v>
      </c>
      <c r="U21" t="s">
        <v>75</v>
      </c>
      <c r="AF21" t="s">
        <v>77</v>
      </c>
      <c r="AR21" t="s">
        <v>79</v>
      </c>
      <c r="BB21" t="s">
        <v>81</v>
      </c>
    </row>
    <row r="40" spans="10:54" x14ac:dyDescent="0.25">
      <c r="J40" t="s">
        <v>90</v>
      </c>
      <c r="U40" t="s">
        <v>92</v>
      </c>
      <c r="AF40" t="s">
        <v>94</v>
      </c>
      <c r="AR40" t="s">
        <v>96</v>
      </c>
      <c r="BB40" t="s">
        <v>98</v>
      </c>
    </row>
    <row r="59" spans="10:54" x14ac:dyDescent="0.25">
      <c r="J59" t="s">
        <v>91</v>
      </c>
      <c r="U59" t="s">
        <v>93</v>
      </c>
      <c r="AF59" t="s">
        <v>95</v>
      </c>
      <c r="AR59" t="s">
        <v>97</v>
      </c>
      <c r="BB59" t="s">
        <v>99</v>
      </c>
    </row>
    <row r="78" spans="10:54" x14ac:dyDescent="0.25">
      <c r="J78" t="s">
        <v>108</v>
      </c>
      <c r="U78" t="s">
        <v>110</v>
      </c>
      <c r="AF78" t="s">
        <v>112</v>
      </c>
      <c r="AR78" t="s">
        <v>114</v>
      </c>
      <c r="BB78" t="s">
        <v>116</v>
      </c>
    </row>
    <row r="97" spans="10:54" x14ac:dyDescent="0.25">
      <c r="J97" t="s">
        <v>109</v>
      </c>
      <c r="U97" t="s">
        <v>111</v>
      </c>
      <c r="AF97" t="s">
        <v>113</v>
      </c>
      <c r="AR97" t="s">
        <v>115</v>
      </c>
      <c r="BB97" t="s">
        <v>117</v>
      </c>
    </row>
    <row r="116" spans="10:54" x14ac:dyDescent="0.25">
      <c r="J116" t="s">
        <v>118</v>
      </c>
      <c r="U116" t="s">
        <v>119</v>
      </c>
      <c r="AF116" t="s">
        <v>120</v>
      </c>
      <c r="AR116" t="s">
        <v>121</v>
      </c>
      <c r="BB116" t="s">
        <v>122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"/>
  <sheetViews>
    <sheetView workbookViewId="0"/>
  </sheetViews>
  <sheetFormatPr defaultRowHeight="15" x14ac:dyDescent="0.25"/>
  <sheetData>
    <row r="3" spans="2:2" x14ac:dyDescent="0.25">
      <c r="B3" t="s">
        <v>124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J3:BB3"/>
  <sheetViews>
    <sheetView workbookViewId="0"/>
  </sheetViews>
  <sheetFormatPr defaultRowHeight="15" x14ac:dyDescent="0.25"/>
  <sheetData>
    <row r="3" spans="10:54" x14ac:dyDescent="0.25">
      <c r="J3" t="s">
        <v>13</v>
      </c>
      <c r="U3" t="s">
        <v>14</v>
      </c>
      <c r="AF3" t="s">
        <v>15</v>
      </c>
      <c r="AR3" t="s">
        <v>16</v>
      </c>
      <c r="BB3" t="s">
        <v>17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BB78"/>
  <sheetViews>
    <sheetView workbookViewId="0"/>
  </sheetViews>
  <sheetFormatPr defaultRowHeight="15" x14ac:dyDescent="0.25"/>
  <sheetData>
    <row r="3" spans="2:54" x14ac:dyDescent="0.25">
      <c r="B3" t="s">
        <v>125</v>
      </c>
      <c r="J3" t="s">
        <v>128</v>
      </c>
      <c r="U3" t="s">
        <v>130</v>
      </c>
      <c r="AF3" t="s">
        <v>132</v>
      </c>
      <c r="AR3" t="s">
        <v>134</v>
      </c>
      <c r="BB3" t="s">
        <v>136</v>
      </c>
    </row>
    <row r="21" spans="10:54" x14ac:dyDescent="0.25">
      <c r="J21" t="s">
        <v>129</v>
      </c>
      <c r="U21" t="s">
        <v>131</v>
      </c>
      <c r="AF21" t="s">
        <v>133</v>
      </c>
      <c r="AR21" t="s">
        <v>135</v>
      </c>
      <c r="BB21" t="s">
        <v>137</v>
      </c>
    </row>
    <row r="40" spans="10:54" x14ac:dyDescent="0.25">
      <c r="J40" t="s">
        <v>143</v>
      </c>
      <c r="U40" t="s">
        <v>145</v>
      </c>
      <c r="AF40" t="s">
        <v>147</v>
      </c>
      <c r="AR40" t="s">
        <v>149</v>
      </c>
      <c r="BB40" t="s">
        <v>151</v>
      </c>
    </row>
    <row r="59" spans="10:54" x14ac:dyDescent="0.25">
      <c r="J59" t="s">
        <v>144</v>
      </c>
      <c r="U59" t="s">
        <v>146</v>
      </c>
      <c r="AF59" t="s">
        <v>148</v>
      </c>
      <c r="AR59" t="s">
        <v>150</v>
      </c>
      <c r="BB59" t="s">
        <v>152</v>
      </c>
    </row>
    <row r="78" spans="10:54" x14ac:dyDescent="0.25">
      <c r="J78" t="s">
        <v>153</v>
      </c>
      <c r="U78" t="s">
        <v>154</v>
      </c>
      <c r="AF78" t="s">
        <v>155</v>
      </c>
      <c r="AR78" t="s">
        <v>156</v>
      </c>
      <c r="BB78" t="s">
        <v>157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BB78"/>
  <sheetViews>
    <sheetView workbookViewId="0"/>
  </sheetViews>
  <sheetFormatPr defaultRowHeight="15" x14ac:dyDescent="0.25"/>
  <sheetData>
    <row r="3" spans="2:54" x14ac:dyDescent="0.25">
      <c r="B3" t="s">
        <v>158</v>
      </c>
      <c r="J3" t="s">
        <v>159</v>
      </c>
      <c r="U3" t="s">
        <v>161</v>
      </c>
      <c r="AF3" t="s">
        <v>163</v>
      </c>
      <c r="AR3" t="s">
        <v>165</v>
      </c>
      <c r="BB3" t="s">
        <v>167</v>
      </c>
    </row>
    <row r="21" spans="10:54" x14ac:dyDescent="0.25">
      <c r="J21" t="s">
        <v>160</v>
      </c>
      <c r="U21" t="s">
        <v>162</v>
      </c>
      <c r="AF21" t="s">
        <v>164</v>
      </c>
      <c r="AR21" t="s">
        <v>166</v>
      </c>
      <c r="BB21" t="s">
        <v>168</v>
      </c>
    </row>
    <row r="40" spans="10:54" x14ac:dyDescent="0.25">
      <c r="J40" t="s">
        <v>172</v>
      </c>
      <c r="U40" t="s">
        <v>174</v>
      </c>
      <c r="AF40" t="s">
        <v>176</v>
      </c>
      <c r="AR40" t="s">
        <v>178</v>
      </c>
      <c r="BB40" t="s">
        <v>180</v>
      </c>
    </row>
    <row r="59" spans="10:54" x14ac:dyDescent="0.25">
      <c r="J59" t="s">
        <v>173</v>
      </c>
      <c r="U59" t="s">
        <v>175</v>
      </c>
      <c r="AF59" t="s">
        <v>177</v>
      </c>
      <c r="AR59" t="s">
        <v>179</v>
      </c>
      <c r="BB59" t="s">
        <v>181</v>
      </c>
    </row>
    <row r="78" spans="10:54" x14ac:dyDescent="0.25">
      <c r="J78" t="s">
        <v>182</v>
      </c>
      <c r="U78" t="s">
        <v>183</v>
      </c>
      <c r="AF78" t="s">
        <v>184</v>
      </c>
      <c r="AR78" t="s">
        <v>185</v>
      </c>
      <c r="BB78" t="s">
        <v>186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DDF2-7B20-4B67-997E-9F8459C97861}">
  <dimension ref="B2:B53"/>
  <sheetViews>
    <sheetView workbookViewId="0">
      <selection activeCell="Q16" sqref="Q16"/>
    </sheetView>
  </sheetViews>
  <sheetFormatPr defaultRowHeight="15" x14ac:dyDescent="0.25"/>
  <sheetData>
    <row r="2" spans="2:2" x14ac:dyDescent="0.25">
      <c r="B2" s="7" t="s">
        <v>218</v>
      </c>
    </row>
    <row r="28" spans="2:2" x14ac:dyDescent="0.25">
      <c r="B28" s="7" t="s">
        <v>220</v>
      </c>
    </row>
    <row r="53" spans="2:2" x14ac:dyDescent="0.25">
      <c r="B53" s="7" t="s">
        <v>219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197"/>
  <sheetViews>
    <sheetView workbookViewId="0"/>
  </sheetViews>
  <sheetFormatPr defaultRowHeight="15" x14ac:dyDescent="0.25"/>
  <cols>
    <col min="36" max="55" width="20.7109375" customWidth="1"/>
  </cols>
  <sheetData>
    <row r="1" spans="1:57" x14ac:dyDescent="0.25">
      <c r="A1" t="s">
        <v>11</v>
      </c>
      <c r="B1" t="s">
        <v>18</v>
      </c>
    </row>
    <row r="3" spans="1:57" x14ac:dyDescent="0.25">
      <c r="A3" s="1" t="s">
        <v>0</v>
      </c>
      <c r="B3" s="1">
        <v>2019</v>
      </c>
      <c r="C3" s="1">
        <v>2020</v>
      </c>
      <c r="D3" s="1">
        <v>2021</v>
      </c>
      <c r="E3" s="1">
        <v>2022</v>
      </c>
      <c r="F3" s="1">
        <v>2023</v>
      </c>
      <c r="G3" s="1">
        <v>2024</v>
      </c>
      <c r="H3" s="1">
        <v>2025</v>
      </c>
      <c r="I3" s="1">
        <v>2026</v>
      </c>
      <c r="J3" s="1">
        <v>2027</v>
      </c>
      <c r="K3" s="1">
        <v>2028</v>
      </c>
      <c r="L3" s="1">
        <v>2029</v>
      </c>
      <c r="M3" s="1">
        <v>2030</v>
      </c>
      <c r="N3" s="1">
        <v>2031</v>
      </c>
      <c r="O3" s="1">
        <v>2032</v>
      </c>
      <c r="P3" s="1">
        <v>2033</v>
      </c>
      <c r="Q3" s="1">
        <v>2034</v>
      </c>
      <c r="R3" s="1">
        <v>2035</v>
      </c>
      <c r="S3" s="1">
        <v>2036</v>
      </c>
      <c r="T3" s="1">
        <v>2037</v>
      </c>
      <c r="U3" s="1">
        <v>2038</v>
      </c>
      <c r="V3" s="1">
        <v>2039</v>
      </c>
      <c r="W3" s="1">
        <v>2040</v>
      </c>
      <c r="X3" s="1">
        <v>2041</v>
      </c>
      <c r="Y3" s="1">
        <v>2042</v>
      </c>
      <c r="Z3" s="1">
        <v>2043</v>
      </c>
      <c r="AA3" s="1">
        <v>2044</v>
      </c>
      <c r="AB3" s="1">
        <v>2045</v>
      </c>
      <c r="AC3" s="1">
        <v>2046</v>
      </c>
      <c r="AD3" s="1">
        <v>2047</v>
      </c>
      <c r="AE3" s="1">
        <v>2048</v>
      </c>
      <c r="AF3" s="1">
        <v>2049</v>
      </c>
      <c r="AG3" s="1">
        <v>2050</v>
      </c>
      <c r="AK3" s="2">
        <f ca="1">INDIRECT(ADDRESS(3,2))</f>
        <v>2019</v>
      </c>
      <c r="AL3" s="2">
        <f ca="1">INDIRECT(ADDRESS(3,8))</f>
        <v>2025</v>
      </c>
      <c r="AM3" s="2" t="str">
        <f ca="1">CONCATENATE("% change ",INDIRECT(ADDRESS(3,2)),"-",INDIRECT(ADDRESS(3,8)))</f>
        <v>% change 2019-2025</v>
      </c>
      <c r="AN3" s="2">
        <f ca="1">INDIRECT(ADDRESS(3,13))</f>
        <v>2030</v>
      </c>
      <c r="AO3" s="2" t="str">
        <f ca="1">CONCATENATE("% change ",INDIRECT(ADDRESS(3,2)),"-",INDIRECT(ADDRESS(3,13)))</f>
        <v>% change 2019-2030</v>
      </c>
      <c r="AP3" s="2">
        <f ca="1">INDIRECT(ADDRESS(3,18))</f>
        <v>2035</v>
      </c>
      <c r="AQ3" s="2" t="str">
        <f ca="1">CONCATENATE("% change ",INDIRECT(ADDRESS(3,2)),"-",INDIRECT(ADDRESS(3,18)))</f>
        <v>% change 2019-2035</v>
      </c>
      <c r="AR3" s="2">
        <f ca="1">INDIRECT(ADDRESS(3,23))</f>
        <v>2040</v>
      </c>
      <c r="AS3" s="2" t="str">
        <f ca="1">CONCATENATE("% change ",INDIRECT(ADDRESS(3,2)),"-",INDIRECT(ADDRESS(3,23)))</f>
        <v>% change 2019-2040</v>
      </c>
      <c r="AT3" s="2">
        <f ca="1">INDIRECT(ADDRESS(3,28))</f>
        <v>2045</v>
      </c>
      <c r="AU3" s="2" t="str">
        <f ca="1">CONCATENATE("% change ",INDIRECT(ADDRESS(3,2)),"-",INDIRECT(ADDRESS(3,28)))</f>
        <v>% change 2019-2045</v>
      </c>
      <c r="AV3" s="2">
        <f ca="1">INDIRECT(ADDRESS(3,33))</f>
        <v>2050</v>
      </c>
      <c r="AW3" s="2" t="str">
        <f ca="1">CONCATENATE("% change ",INDIRECT(ADDRESS(3,2)),"-",INDIRECT(ADDRESS(3,33)))</f>
        <v>% change 2019-2050</v>
      </c>
    </row>
    <row r="4" spans="1:57" x14ac:dyDescent="0.25">
      <c r="A4" s="1" t="s">
        <v>2</v>
      </c>
      <c r="B4">
        <v>106119393.58404119</v>
      </c>
      <c r="C4">
        <v>105312188.9726411</v>
      </c>
      <c r="D4">
        <v>103585732.330541</v>
      </c>
      <c r="E4">
        <v>101944430.1329415</v>
      </c>
      <c r="F4">
        <v>99861371.168449998</v>
      </c>
      <c r="G4">
        <v>96922045.159549996</v>
      </c>
      <c r="H4">
        <v>77786926.773379996</v>
      </c>
      <c r="I4">
        <v>73944046.943210006</v>
      </c>
      <c r="J4">
        <v>69994857.947799996</v>
      </c>
      <c r="K4">
        <v>65982842.726099998</v>
      </c>
      <c r="L4">
        <v>61881991.675700001</v>
      </c>
      <c r="M4">
        <v>53301995.363399997</v>
      </c>
      <c r="N4">
        <v>49683052.007100001</v>
      </c>
      <c r="O4">
        <v>46272368.181900002</v>
      </c>
      <c r="P4">
        <v>43015895.8314</v>
      </c>
      <c r="Q4">
        <v>39705202.2434</v>
      </c>
      <c r="R4">
        <v>36765886.6065</v>
      </c>
      <c r="S4">
        <v>34790834.714299999</v>
      </c>
      <c r="T4">
        <v>32875882.145399999</v>
      </c>
      <c r="U4">
        <v>31048402.874699999</v>
      </c>
      <c r="V4">
        <v>29475909.522700001</v>
      </c>
      <c r="W4">
        <v>28045421.192899998</v>
      </c>
      <c r="X4">
        <v>27113402.476300001</v>
      </c>
      <c r="Y4">
        <v>26242263.540800001</v>
      </c>
      <c r="Z4">
        <v>25435417.9476</v>
      </c>
      <c r="AA4">
        <v>24683659.076699998</v>
      </c>
      <c r="AB4">
        <v>22834263.659200002</v>
      </c>
      <c r="AC4">
        <v>22307173.222399998</v>
      </c>
      <c r="AD4">
        <v>21827323.315499999</v>
      </c>
      <c r="AE4">
        <v>21402087.53125589</v>
      </c>
      <c r="AF4">
        <v>21044590.190973189</v>
      </c>
      <c r="AG4">
        <v>20708686.433126699</v>
      </c>
      <c r="AJ4" s="3" t="str">
        <f ca="1">INDIRECT(ADDRESS(4,1))</f>
        <v>AltFuels</v>
      </c>
      <c r="AK4" s="3">
        <f ca="1">INDIRECT(ADDRESS(4,2))</f>
        <v>106119393.58404119</v>
      </c>
      <c r="AL4" s="3">
        <f ca="1">INDIRECT(ADDRESS(4,8))</f>
        <v>77786926.773379996</v>
      </c>
      <c r="AM4" s="4">
        <f ca="1">IFERROR((INDIRECT(ADDRESS(4,8)) - INDIRECT(ADDRESS(4,2)))/ INDIRECT(ADDRESS(4,2)),1)</f>
        <v>-0.26698670105218153</v>
      </c>
      <c r="AN4" s="3">
        <f ca="1">INDIRECT(ADDRESS(4,13))</f>
        <v>53301995.363399997</v>
      </c>
      <c r="AO4" s="4">
        <f ca="1">IFERROR((INDIRECT(ADDRESS(4,13)) - INDIRECT(ADDRESS(4,2)))/ INDIRECT(ADDRESS(4,2)),1)</f>
        <v>-0.49771673618557277</v>
      </c>
      <c r="AP4" s="3">
        <f ca="1">INDIRECT(ADDRESS(4,18))</f>
        <v>36765886.6065</v>
      </c>
      <c r="AQ4" s="4">
        <f ca="1">IFERROR((INDIRECT(ADDRESS(4,18)) - INDIRECT(ADDRESS(4,2)))/ INDIRECT(ADDRESS(4,2)),1)</f>
        <v>-0.65354224741792111</v>
      </c>
      <c r="AR4" s="3">
        <f ca="1">INDIRECT(ADDRESS(4,23))</f>
        <v>28045421.192899998</v>
      </c>
      <c r="AS4" s="4">
        <f ca="1">IFERROR((INDIRECT(ADDRESS(4,23)) - INDIRECT(ADDRESS(4,2)))/ INDIRECT(ADDRESS(4,2)),1)</f>
        <v>-0.7357182297626923</v>
      </c>
      <c r="AT4" s="3">
        <f ca="1">INDIRECT(ADDRESS(4,28))</f>
        <v>22834263.659200002</v>
      </c>
      <c r="AU4" s="4">
        <f ca="1">IFERROR((INDIRECT(ADDRESS(4,28)) - INDIRECT(ADDRESS(4,2)))/ INDIRECT(ADDRESS(4,2)),1)</f>
        <v>-0.78482478189892391</v>
      </c>
      <c r="AV4" s="3">
        <f ca="1">INDIRECT(ADDRESS(4,33))</f>
        <v>20708686.433126699</v>
      </c>
      <c r="AW4" s="4">
        <f ca="1">IFERROR((INDIRECT(ADDRESS(4,33)) - INDIRECT(ADDRESS(4,2)))/ INDIRECT(ADDRESS(4,2)),1)</f>
        <v>-0.80485483629600207</v>
      </c>
    </row>
    <row r="5" spans="1:57" x14ac:dyDescent="0.25">
      <c r="A5" s="1" t="s">
        <v>3</v>
      </c>
      <c r="B5">
        <v>106119393.58404119</v>
      </c>
      <c r="C5">
        <v>105308854.4726411</v>
      </c>
      <c r="D5">
        <v>104536704.84547099</v>
      </c>
      <c r="E5">
        <v>103524986.9762115</v>
      </c>
      <c r="F5">
        <v>99394126.579641223</v>
      </c>
      <c r="G5">
        <v>94812456.467271239</v>
      </c>
      <c r="H5">
        <v>76566195.638900995</v>
      </c>
      <c r="I5">
        <v>72489597.406441137</v>
      </c>
      <c r="J5">
        <v>68439396.983941033</v>
      </c>
      <c r="K5">
        <v>64462902.398641668</v>
      </c>
      <c r="L5">
        <v>60577604.5662416</v>
      </c>
      <c r="M5">
        <v>53893503.728341199</v>
      </c>
      <c r="N5">
        <v>51855978.320141397</v>
      </c>
      <c r="O5">
        <v>49973297.171940997</v>
      </c>
      <c r="P5">
        <v>48194019.093841702</v>
      </c>
      <c r="Q5">
        <v>46354500.315841101</v>
      </c>
      <c r="R5">
        <v>44801414.9605418</v>
      </c>
      <c r="S5">
        <v>43260948.198341802</v>
      </c>
      <c r="T5">
        <v>41778078.685341001</v>
      </c>
      <c r="U5">
        <v>40371041.998041101</v>
      </c>
      <c r="V5">
        <v>39251698.006241098</v>
      </c>
      <c r="W5">
        <v>38250452.2592417</v>
      </c>
      <c r="X5">
        <v>36796736.744541697</v>
      </c>
      <c r="Y5">
        <v>35428353.448841497</v>
      </c>
      <c r="Z5">
        <v>34143512.780241802</v>
      </c>
      <c r="AA5">
        <v>32919978.6881418</v>
      </c>
      <c r="AB5">
        <v>31456568.8826917</v>
      </c>
      <c r="AC5">
        <v>30504104.960321099</v>
      </c>
      <c r="AD5">
        <v>29597878.281161301</v>
      </c>
      <c r="AE5">
        <v>28728625.9840919</v>
      </c>
      <c r="AF5">
        <v>27882920.0022314</v>
      </c>
      <c r="AG5">
        <v>27072937.444561299</v>
      </c>
      <c r="AJ5" s="3" t="str">
        <f ca="1">INDIRECT(ADDRESS(5,1))</f>
        <v>BAP</v>
      </c>
      <c r="AK5" s="3">
        <f ca="1">INDIRECT(ADDRESS(5,2))</f>
        <v>106119393.58404119</v>
      </c>
      <c r="AL5" s="3">
        <f ca="1">INDIRECT(ADDRESS(5,8))</f>
        <v>76566195.638900995</v>
      </c>
      <c r="AM5" s="4">
        <f ca="1">IFERROR((INDIRECT(ADDRESS(5,8)) - INDIRECT(ADDRESS(5,2)))/ INDIRECT(ADDRESS(5,2)),1)</f>
        <v>-0.27849007563104439</v>
      </c>
      <c r="AN5" s="3">
        <f ca="1">INDIRECT(ADDRESS(5,13))</f>
        <v>53893503.728341199</v>
      </c>
      <c r="AO5" s="4">
        <f ca="1">IFERROR((INDIRECT(ADDRESS(5,13)) - INDIRECT(ADDRESS(5,2)))/ INDIRECT(ADDRESS(5,2)),1)</f>
        <v>-0.49214274688009529</v>
      </c>
      <c r="AP5" s="3">
        <f ca="1">INDIRECT(ADDRESS(5,18))</f>
        <v>44801414.9605418</v>
      </c>
      <c r="AQ5" s="4">
        <f ca="1">IFERROR((INDIRECT(ADDRESS(5,18)) - INDIRECT(ADDRESS(5,2)))/ INDIRECT(ADDRESS(5,2)),1)</f>
        <v>-0.57782066550294275</v>
      </c>
      <c r="AR5" s="3">
        <f ca="1">INDIRECT(ADDRESS(5,23))</f>
        <v>38250452.2592417</v>
      </c>
      <c r="AS5" s="4">
        <f ca="1">IFERROR((INDIRECT(ADDRESS(5,23)) - INDIRECT(ADDRESS(5,2)))/ INDIRECT(ADDRESS(5,2)),1)</f>
        <v>-0.6395526682976258</v>
      </c>
      <c r="AT5" s="3">
        <f ca="1">INDIRECT(ADDRESS(5,28))</f>
        <v>31456568.8826917</v>
      </c>
      <c r="AU5" s="4">
        <f ca="1">IFERROR((INDIRECT(ADDRESS(5,28)) - INDIRECT(ADDRESS(5,2)))/ INDIRECT(ADDRESS(5,2)),1)</f>
        <v>-0.70357379720814472</v>
      </c>
      <c r="AV5" s="3">
        <f ca="1">INDIRECT(ADDRESS(5,33))</f>
        <v>27072937.444561299</v>
      </c>
      <c r="AW5" s="4">
        <f ca="1">IFERROR((INDIRECT(ADDRESS(5,33)) - INDIRECT(ADDRESS(5,2)))/ INDIRECT(ADDRESS(5,2)),1)</f>
        <v>-0.74488228277406332</v>
      </c>
    </row>
    <row r="6" spans="1:57" x14ac:dyDescent="0.25">
      <c r="A6" s="1" t="s">
        <v>4</v>
      </c>
      <c r="B6">
        <v>106119393.58404119</v>
      </c>
      <c r="C6">
        <v>105620672.93764129</v>
      </c>
      <c r="D6">
        <v>105763423.27564131</v>
      </c>
      <c r="E6">
        <v>105711258.6226417</v>
      </c>
      <c r="F6">
        <v>105735398.1496409</v>
      </c>
      <c r="G6">
        <v>105522943.6606413</v>
      </c>
      <c r="H6">
        <v>104502387.9816411</v>
      </c>
      <c r="I6">
        <v>103897888.2486413</v>
      </c>
      <c r="J6">
        <v>103232798.9486412</v>
      </c>
      <c r="K6">
        <v>102575047.5126418</v>
      </c>
      <c r="L6">
        <v>102008999.89464121</v>
      </c>
      <c r="M6">
        <v>101704651.7736415</v>
      </c>
      <c r="N6">
        <v>101552514.67064171</v>
      </c>
      <c r="O6">
        <v>101554188.65164091</v>
      </c>
      <c r="P6">
        <v>101629616.53164101</v>
      </c>
      <c r="Q6">
        <v>101585086.960641</v>
      </c>
      <c r="R6">
        <v>101706065.2636418</v>
      </c>
      <c r="S6">
        <v>101774895.1426415</v>
      </c>
      <c r="T6">
        <v>101841749.65764099</v>
      </c>
      <c r="U6">
        <v>101921334.2006413</v>
      </c>
      <c r="V6">
        <v>102032059.8576414</v>
      </c>
      <c r="W6">
        <v>102170252.4936412</v>
      </c>
      <c r="X6">
        <v>102279988.0496414</v>
      </c>
      <c r="Y6">
        <v>102380820.7196416</v>
      </c>
      <c r="Z6">
        <v>102476817.39064179</v>
      </c>
      <c r="AA6">
        <v>102577259.72164109</v>
      </c>
      <c r="AB6">
        <v>102689493.6776413</v>
      </c>
      <c r="AC6">
        <v>102809203.2816411</v>
      </c>
      <c r="AD6">
        <v>102951061.1436411</v>
      </c>
      <c r="AE6">
        <v>103116002.4786412</v>
      </c>
      <c r="AF6">
        <v>103301282.3526416</v>
      </c>
      <c r="AG6">
        <v>103496275.5246412</v>
      </c>
      <c r="AJ6" s="3" t="str">
        <f ca="1">INDIRECT(ADDRESS(6,1))</f>
        <v>BAU</v>
      </c>
      <c r="AK6" s="3">
        <f ca="1">INDIRECT(ADDRESS(6,2))</f>
        <v>106119393.58404119</v>
      </c>
      <c r="AL6" s="3">
        <f ca="1">INDIRECT(ADDRESS(6,8))</f>
        <v>104502387.9816411</v>
      </c>
      <c r="AM6" s="4">
        <f ca="1">IFERROR((INDIRECT(ADDRESS(6,8)) - INDIRECT(ADDRESS(6,2)))/ INDIRECT(ADDRESS(6,2)),1)</f>
        <v>-1.5237606885865848E-2</v>
      </c>
      <c r="AN6" s="3">
        <f ca="1">INDIRECT(ADDRESS(6,13))</f>
        <v>101704651.7736415</v>
      </c>
      <c r="AO6" s="4">
        <f ca="1">IFERROR((INDIRECT(ADDRESS(6,13)) - INDIRECT(ADDRESS(6,2)))/ INDIRECT(ADDRESS(6,2)),1)</f>
        <v>-4.1601649437465395E-2</v>
      </c>
      <c r="AP6" s="3">
        <f ca="1">INDIRECT(ADDRESS(6,18))</f>
        <v>101706065.2636418</v>
      </c>
      <c r="AQ6" s="4">
        <f ca="1">IFERROR((INDIRECT(ADDRESS(6,18)) - INDIRECT(ADDRESS(6,2)))/ INDIRECT(ADDRESS(6,2)),1)</f>
        <v>-4.1588329628968863E-2</v>
      </c>
      <c r="AR6" s="3">
        <f ca="1">INDIRECT(ADDRESS(6,23))</f>
        <v>102170252.4936412</v>
      </c>
      <c r="AS6" s="4">
        <f ca="1">IFERROR((INDIRECT(ADDRESS(6,23)) - INDIRECT(ADDRESS(6,2)))/ INDIRECT(ADDRESS(6,2)),1)</f>
        <v>-3.7214131715448177E-2</v>
      </c>
      <c r="AT6" s="3">
        <f ca="1">INDIRECT(ADDRESS(6,28))</f>
        <v>102689493.6776413</v>
      </c>
      <c r="AU6" s="4">
        <f ca="1">IFERROR((INDIRECT(ADDRESS(6,28)) - INDIRECT(ADDRESS(6,2)))/ INDIRECT(ADDRESS(6,2)),1)</f>
        <v>-3.2321141221784158E-2</v>
      </c>
      <c r="AV6" s="3">
        <f ca="1">INDIRECT(ADDRESS(6,33))</f>
        <v>103496275.5246412</v>
      </c>
      <c r="AW6" s="4">
        <f ca="1">IFERROR((INDIRECT(ADDRESS(6,33)) - INDIRECT(ADDRESS(6,2)))/ INDIRECT(ADDRESS(6,2)),1)</f>
        <v>-2.4718554929571996E-2</v>
      </c>
    </row>
    <row r="7" spans="1:57" x14ac:dyDescent="0.25">
      <c r="A7" s="1" t="s">
        <v>5</v>
      </c>
      <c r="B7">
        <v>106119393.58404119</v>
      </c>
      <c r="C7">
        <v>105322290.1316411</v>
      </c>
      <c r="D7">
        <v>103639612.5533233</v>
      </c>
      <c r="E7">
        <v>101746447.0185075</v>
      </c>
      <c r="F7">
        <v>99464959.236241683</v>
      </c>
      <c r="G7">
        <v>96508987.792171627</v>
      </c>
      <c r="H7">
        <v>77417675.608601376</v>
      </c>
      <c r="I7">
        <v>73840039.625941247</v>
      </c>
      <c r="J7">
        <v>70208503.206941307</v>
      </c>
      <c r="K7">
        <v>66559651.5004417</v>
      </c>
      <c r="L7">
        <v>62790225.085141301</v>
      </c>
      <c r="M7">
        <v>54568504.454441898</v>
      </c>
      <c r="N7">
        <v>51444327.400441296</v>
      </c>
      <c r="O7">
        <v>48524303.264940999</v>
      </c>
      <c r="P7">
        <v>45759382.577341199</v>
      </c>
      <c r="Q7">
        <v>42947386.7980415</v>
      </c>
      <c r="R7">
        <v>40525297.725541703</v>
      </c>
      <c r="S7">
        <v>38676495.735841602</v>
      </c>
      <c r="T7">
        <v>36902949.301641099</v>
      </c>
      <c r="U7">
        <v>35235191.096041299</v>
      </c>
      <c r="V7">
        <v>33847171.086941198</v>
      </c>
      <c r="W7">
        <v>32606185.5132416</v>
      </c>
      <c r="X7">
        <v>31713850.489241101</v>
      </c>
      <c r="Y7">
        <v>30882676.653041199</v>
      </c>
      <c r="Z7">
        <v>30116872.829742</v>
      </c>
      <c r="AA7">
        <v>29408466.873941202</v>
      </c>
      <c r="AB7">
        <v>27576181.1546419</v>
      </c>
      <c r="AC7">
        <v>27032179.2088417</v>
      </c>
      <c r="AD7">
        <v>26535885.4546417</v>
      </c>
      <c r="AE7">
        <v>26079859.423541501</v>
      </c>
      <c r="AF7">
        <v>25645048.096041702</v>
      </c>
      <c r="AG7">
        <v>25256468.4918417</v>
      </c>
      <c r="AJ7" s="3" t="str">
        <f ca="1">INDIRECT(ADDRESS(7,1))</f>
        <v>Elec</v>
      </c>
      <c r="AK7" s="3">
        <f ca="1">INDIRECT(ADDRESS(7,2))</f>
        <v>106119393.58404119</v>
      </c>
      <c r="AL7" s="3">
        <f ca="1">INDIRECT(ADDRESS(7,8))</f>
        <v>77417675.608601376</v>
      </c>
      <c r="AM7" s="4">
        <f ca="1">IFERROR((INDIRECT(ADDRESS(7,8)) - INDIRECT(ADDRESS(7,2)))/ INDIRECT(ADDRESS(7,2)),1)</f>
        <v>-0.27046628336327144</v>
      </c>
      <c r="AN7" s="3">
        <f ca="1">INDIRECT(ADDRESS(7,13))</f>
        <v>54568504.454441898</v>
      </c>
      <c r="AO7" s="4">
        <f ca="1">IFERROR((INDIRECT(ADDRESS(7,13)) - INDIRECT(ADDRESS(7,2)))/ INDIRECT(ADDRESS(7,2)),1)</f>
        <v>-0.48578197998063</v>
      </c>
      <c r="AP7" s="3">
        <f ca="1">INDIRECT(ADDRESS(7,18))</f>
        <v>40525297.725541703</v>
      </c>
      <c r="AQ7" s="4">
        <f ca="1">IFERROR((INDIRECT(ADDRESS(7,18)) - INDIRECT(ADDRESS(7,2)))/ INDIRECT(ADDRESS(7,2)),1)</f>
        <v>-0.61811600729278837</v>
      </c>
      <c r="AR7" s="3">
        <f ca="1">INDIRECT(ADDRESS(7,23))</f>
        <v>32606185.5132416</v>
      </c>
      <c r="AS7" s="4">
        <f ca="1">IFERROR((INDIRECT(ADDRESS(7,23)) - INDIRECT(ADDRESS(7,2)))/ INDIRECT(ADDRESS(7,2)),1)</f>
        <v>-0.69274055936421131</v>
      </c>
      <c r="AT7" s="3">
        <f ca="1">INDIRECT(ADDRESS(7,28))</f>
        <v>27576181.1546419</v>
      </c>
      <c r="AU7" s="4">
        <f ca="1">IFERROR((INDIRECT(ADDRESS(7,28)) - INDIRECT(ADDRESS(7,2)))/ INDIRECT(ADDRESS(7,2)),1)</f>
        <v>-0.74014004204798856</v>
      </c>
      <c r="AV7" s="3">
        <f ca="1">INDIRECT(ADDRESS(7,33))</f>
        <v>25256468.4918417</v>
      </c>
      <c r="AW7" s="4">
        <f ca="1">IFERROR((INDIRECT(ADDRESS(7,33)) - INDIRECT(ADDRESS(7,2)))/ INDIRECT(ADDRESS(7,2)),1)</f>
        <v>-0.76199950226967839</v>
      </c>
    </row>
    <row r="8" spans="1:57" x14ac:dyDescent="0.25">
      <c r="A8" s="1" t="s">
        <v>6</v>
      </c>
      <c r="B8">
        <v>106119393.58404119</v>
      </c>
      <c r="C8">
        <v>105312188.9726411</v>
      </c>
      <c r="D8">
        <v>103585732.330541</v>
      </c>
      <c r="E8">
        <v>101944430.1329415</v>
      </c>
      <c r="F8">
        <v>99591001.497449994</v>
      </c>
      <c r="G8">
        <v>96440735.95081</v>
      </c>
      <c r="H8">
        <v>77151986.201580003</v>
      </c>
      <c r="I8">
        <v>73211193.970339999</v>
      </c>
      <c r="J8">
        <v>69218893.703800008</v>
      </c>
      <c r="K8">
        <v>65217876.252599999</v>
      </c>
      <c r="L8">
        <v>61119997.420599997</v>
      </c>
      <c r="M8">
        <v>52587374.851899996</v>
      </c>
      <c r="N8">
        <v>48868570.075499997</v>
      </c>
      <c r="O8">
        <v>45368730.920299999</v>
      </c>
      <c r="P8">
        <v>42035116.0057</v>
      </c>
      <c r="Q8">
        <v>38663522.2161</v>
      </c>
      <c r="R8">
        <v>35676267.754100002</v>
      </c>
      <c r="S8">
        <v>33710882.590700001</v>
      </c>
      <c r="T8">
        <v>31813780.655400001</v>
      </c>
      <c r="U8">
        <v>30015647.814199999</v>
      </c>
      <c r="V8">
        <v>28490939.5592</v>
      </c>
      <c r="W8">
        <v>27107137.719999999</v>
      </c>
      <c r="X8">
        <v>26343161.549741641</v>
      </c>
      <c r="Y8">
        <v>25647880.467481591</v>
      </c>
      <c r="Z8">
        <v>25004003.437794879</v>
      </c>
      <c r="AA8">
        <v>24412922.841653921</v>
      </c>
      <c r="AB8">
        <v>22667382.30334406</v>
      </c>
      <c r="AC8">
        <v>22202290.277765419</v>
      </c>
      <c r="AD8">
        <v>21779762.456104871</v>
      </c>
      <c r="AE8">
        <v>21393581.207832951</v>
      </c>
      <c r="AF8">
        <v>21036263.457273759</v>
      </c>
      <c r="AG8">
        <v>20700308.892702129</v>
      </c>
      <c r="AJ8" s="3" t="str">
        <f ca="1">INDIRECT(ADDRESS(8,1))</f>
        <v>Hybrid</v>
      </c>
      <c r="AK8" s="3">
        <f ca="1">INDIRECT(ADDRESS(8,2))</f>
        <v>106119393.58404119</v>
      </c>
      <c r="AL8" s="3">
        <f ca="1">INDIRECT(ADDRESS(8,8))</f>
        <v>77151986.201580003</v>
      </c>
      <c r="AM8" s="4">
        <f ca="1">IFERROR((INDIRECT(ADDRESS(8,8)) - INDIRECT(ADDRESS(8,2)))/ INDIRECT(ADDRESS(8,2)),1)</f>
        <v>-0.27296996716741007</v>
      </c>
      <c r="AN8" s="3">
        <f ca="1">INDIRECT(ADDRESS(8,13))</f>
        <v>52587374.851899996</v>
      </c>
      <c r="AO8" s="4">
        <f ca="1">IFERROR((INDIRECT(ADDRESS(8,13)) - INDIRECT(ADDRESS(8,2)))/ INDIRECT(ADDRESS(8,2)),1)</f>
        <v>-0.50445085411976598</v>
      </c>
      <c r="AP8" s="3">
        <f ca="1">INDIRECT(ADDRESS(8,18))</f>
        <v>35676267.754100002</v>
      </c>
      <c r="AQ8" s="4">
        <f ca="1">IFERROR((INDIRECT(ADDRESS(8,18)) - INDIRECT(ADDRESS(8,2)))/ INDIRECT(ADDRESS(8,2)),1)</f>
        <v>-0.66381010530515128</v>
      </c>
      <c r="AR8" s="3">
        <f ca="1">INDIRECT(ADDRESS(8,23))</f>
        <v>27107137.719999999</v>
      </c>
      <c r="AS8" s="4">
        <f ca="1">IFERROR((INDIRECT(ADDRESS(8,23)) - INDIRECT(ADDRESS(8,2)))/ INDIRECT(ADDRESS(8,2)),1)</f>
        <v>-0.74456000166894554</v>
      </c>
      <c r="AT8" s="3">
        <f ca="1">INDIRECT(ADDRESS(8,28))</f>
        <v>22667382.30334406</v>
      </c>
      <c r="AU8" s="4">
        <f ca="1">IFERROR((INDIRECT(ADDRESS(8,28)) - INDIRECT(ADDRESS(8,2)))/ INDIRECT(ADDRESS(8,2)),1)</f>
        <v>-0.78639736302872254</v>
      </c>
      <c r="AV8" s="3">
        <f ca="1">INDIRECT(ADDRESS(8,33))</f>
        <v>20700308.892702129</v>
      </c>
      <c r="AW8" s="4">
        <f ca="1">IFERROR((INDIRECT(ADDRESS(8,33)) - INDIRECT(ADDRESS(8,2)))/ INDIRECT(ADDRESS(8,2)),1)</f>
        <v>-0.80493378077675748</v>
      </c>
    </row>
    <row r="11" spans="1:57" x14ac:dyDescent="0.25">
      <c r="A11" s="1" t="s">
        <v>0</v>
      </c>
      <c r="B11" s="1" t="s">
        <v>20</v>
      </c>
      <c r="C11" s="1">
        <v>2019</v>
      </c>
      <c r="D11" s="1">
        <v>2020</v>
      </c>
      <c r="E11" s="1">
        <v>2021</v>
      </c>
      <c r="F11" s="1">
        <v>2022</v>
      </c>
      <c r="G11" s="1">
        <v>2023</v>
      </c>
      <c r="H11" s="1">
        <v>2024</v>
      </c>
      <c r="I11" s="1">
        <v>2025</v>
      </c>
      <c r="J11" s="1">
        <v>2026</v>
      </c>
      <c r="K11" s="1">
        <v>2027</v>
      </c>
      <c r="L11" s="1">
        <v>2028</v>
      </c>
      <c r="M11" s="1">
        <v>2029</v>
      </c>
      <c r="N11" s="1">
        <v>2030</v>
      </c>
      <c r="O11" s="1">
        <v>2031</v>
      </c>
      <c r="P11" s="1">
        <v>2032</v>
      </c>
      <c r="Q11" s="1">
        <v>2033</v>
      </c>
      <c r="R11" s="1">
        <v>2034</v>
      </c>
      <c r="S11" s="1">
        <v>2035</v>
      </c>
      <c r="T11" s="1">
        <v>2036</v>
      </c>
      <c r="U11" s="1">
        <v>2037</v>
      </c>
      <c r="V11" s="1">
        <v>2038</v>
      </c>
      <c r="W11" s="1">
        <v>2039</v>
      </c>
      <c r="X11" s="1">
        <v>2040</v>
      </c>
      <c r="Y11" s="1">
        <v>2041</v>
      </c>
      <c r="Z11" s="1">
        <v>2042</v>
      </c>
      <c r="AA11" s="1">
        <v>2043</v>
      </c>
      <c r="AB11" s="1">
        <v>2044</v>
      </c>
      <c r="AC11" s="1">
        <v>2045</v>
      </c>
      <c r="AD11" s="1">
        <v>2046</v>
      </c>
      <c r="AE11" s="1">
        <v>2047</v>
      </c>
      <c r="AF11" s="1">
        <v>2048</v>
      </c>
      <c r="AG11" s="1">
        <v>2049</v>
      </c>
      <c r="AH11" s="1">
        <v>2050</v>
      </c>
      <c r="AL11" s="2">
        <f ca="1">INDIRECT(ADDRESS(11,3))</f>
        <v>2019</v>
      </c>
      <c r="AM11" s="2" t="str">
        <f ca="1">CONCATENATE(INDIRECT(ADDRESS(11,3))," Share")</f>
        <v>2019 Share</v>
      </c>
      <c r="AN11" s="2">
        <f ca="1">INDIRECT(ADDRESS(11,9))</f>
        <v>2025</v>
      </c>
      <c r="AO11" s="2" t="str">
        <f ca="1">CONCATENATE(INDIRECT(ADDRESS(11,9))," Share")</f>
        <v>2025 Share</v>
      </c>
      <c r="AP11" s="2" t="str">
        <f ca="1">CONCATENATE("% change ",INDIRECT(ADDRESS(11,3)),"-",INDIRECT(ADDRESS(11,9)))</f>
        <v>% change 2019-2025</v>
      </c>
      <c r="AQ11" s="2">
        <f ca="1">INDIRECT(ADDRESS(11,14))</f>
        <v>2030</v>
      </c>
      <c r="AR11" s="2" t="str">
        <f ca="1">CONCATENATE(INDIRECT(ADDRESS(11,14))," Share")</f>
        <v>2030 Share</v>
      </c>
      <c r="AS11" s="2" t="str">
        <f ca="1">CONCATENATE("% change ",INDIRECT(ADDRESS(11,3)),"-",INDIRECT(ADDRESS(11,14)))</f>
        <v>% change 2019-2030</v>
      </c>
      <c r="AT11" s="2">
        <f ca="1">INDIRECT(ADDRESS(11,19))</f>
        <v>2035</v>
      </c>
      <c r="AU11" s="2" t="str">
        <f ca="1">CONCATENATE(INDIRECT(ADDRESS(11,19))," Share")</f>
        <v>2035 Share</v>
      </c>
      <c r="AV11" s="2" t="str">
        <f ca="1">CONCATENATE("% change ",INDIRECT(ADDRESS(11,3)),"-",INDIRECT(ADDRESS(11,19)))</f>
        <v>% change 2019-2035</v>
      </c>
      <c r="AW11" s="2">
        <f ca="1">INDIRECT(ADDRESS(11,24))</f>
        <v>2040</v>
      </c>
      <c r="AX11" s="2" t="str">
        <f ca="1">CONCATENATE(INDIRECT(ADDRESS(11,24))," Share")</f>
        <v>2040 Share</v>
      </c>
      <c r="AY11" s="2" t="str">
        <f ca="1">CONCATENATE("% change ",INDIRECT(ADDRESS(11,3)),"-",INDIRECT(ADDRESS(11,24)))</f>
        <v>% change 2019-2040</v>
      </c>
      <c r="AZ11" s="2">
        <f ca="1">INDIRECT(ADDRESS(11,29))</f>
        <v>2045</v>
      </c>
      <c r="BA11" s="2" t="str">
        <f ca="1">CONCATENATE(INDIRECT(ADDRESS(11,29))," Share")</f>
        <v>2045 Share</v>
      </c>
      <c r="BB11" s="2" t="str">
        <f ca="1">CONCATENATE("% change ",INDIRECT(ADDRESS(11,3)),"-",INDIRECT(ADDRESS(11,29)))</f>
        <v>% change 2019-2045</v>
      </c>
      <c r="BC11" s="2">
        <f ca="1">INDIRECT(ADDRESS(11,34))</f>
        <v>2050</v>
      </c>
      <c r="BD11" s="2" t="str">
        <f ca="1">CONCATENATE(INDIRECT(ADDRESS(11,34))," Share")</f>
        <v>2050 Share</v>
      </c>
      <c r="BE11" s="2" t="str">
        <f ca="1">CONCATENATE("% change ",INDIRECT(ADDRESS(11,3)),"-",INDIRECT(ADDRESS(11,34)))</f>
        <v>% change 2019-2050</v>
      </c>
    </row>
    <row r="12" spans="1:57" x14ac:dyDescent="0.25">
      <c r="A12" s="5" t="s">
        <v>5</v>
      </c>
      <c r="B12" s="1" t="s">
        <v>22</v>
      </c>
      <c r="C12">
        <v>378717.85989999998</v>
      </c>
      <c r="D12">
        <v>378717.85989999998</v>
      </c>
      <c r="E12">
        <v>378710.09142930002</v>
      </c>
      <c r="F12">
        <v>378702.40899600001</v>
      </c>
      <c r="G12">
        <v>375720.24449999997</v>
      </c>
      <c r="H12">
        <v>372516.33769999997</v>
      </c>
      <c r="I12">
        <v>361354.89370000002</v>
      </c>
      <c r="J12">
        <v>355071.94990000001</v>
      </c>
      <c r="K12">
        <v>348591.12910000002</v>
      </c>
      <c r="L12">
        <v>341931.21840000001</v>
      </c>
      <c r="M12">
        <v>335125.83</v>
      </c>
      <c r="N12">
        <v>328318.98300000001</v>
      </c>
      <c r="O12">
        <v>321346.53480000002</v>
      </c>
      <c r="P12">
        <v>314311.01569999999</v>
      </c>
      <c r="Q12">
        <v>307216.9583</v>
      </c>
      <c r="R12">
        <v>300067.76899999997</v>
      </c>
      <c r="S12">
        <v>292893.38559999998</v>
      </c>
      <c r="T12">
        <v>285843.23419999989</v>
      </c>
      <c r="U12">
        <v>278756.08370000002</v>
      </c>
      <c r="V12">
        <v>271632.6029</v>
      </c>
      <c r="W12">
        <v>264476.5465</v>
      </c>
      <c r="X12">
        <v>257312.02359999999</v>
      </c>
      <c r="Y12">
        <v>250206.70850000001</v>
      </c>
      <c r="Z12">
        <v>243056.94339999999</v>
      </c>
      <c r="AA12">
        <v>235855.61979999999</v>
      </c>
      <c r="AB12">
        <v>228601.70240000001</v>
      </c>
      <c r="AC12">
        <v>221278.1961</v>
      </c>
      <c r="AD12">
        <v>214250.18410000001</v>
      </c>
      <c r="AE12">
        <v>207223.23509999999</v>
      </c>
      <c r="AF12">
        <v>200196.7935</v>
      </c>
      <c r="AG12">
        <v>193173.74249999999</v>
      </c>
      <c r="AH12">
        <v>186142.64449999999</v>
      </c>
      <c r="AK12" s="3" t="str">
        <f ca="1">INDIRECT(ADDRESS(12,2))</f>
        <v>Agriculture</v>
      </c>
      <c r="AL12" s="3">
        <f ca="1">INDIRECT(ADDRESS(12,3))</f>
        <v>378717.85989999998</v>
      </c>
      <c r="AM12" s="4">
        <f ca="1">IFERROR(INDIRECT(ADDRESS(12,3)) / INDIRECT(ADDRESS(19,3)),0)</f>
        <v>3.5687902758328015E-3</v>
      </c>
      <c r="AN12" s="3">
        <f ca="1">INDIRECT(ADDRESS(12,9))</f>
        <v>361354.89370000002</v>
      </c>
      <c r="AO12" s="4">
        <f ca="1">IFERROR(INDIRECT(ADDRESS(12,9)) / INDIRECT(ADDRESS(19,9)),0)</f>
        <v>4.6676019508373381E-3</v>
      </c>
      <c r="AP12" s="4">
        <f ca="1">IFERROR((INDIRECT(ADDRESS(12,9)) - INDIRECT(ADDRESS(12,3)))/ INDIRECT(ADDRESS(12,3)),1)</f>
        <v>-4.5846705525281112E-2</v>
      </c>
      <c r="AQ12" s="3">
        <f ca="1">INDIRECT(ADDRESS(12,14))</f>
        <v>328318.98300000001</v>
      </c>
      <c r="AR12" s="4">
        <f ca="1">IFERROR(INDIRECT(ADDRESS(12,14)) / INDIRECT(ADDRESS(19,14)),0)</f>
        <v>6.0166388337453275E-3</v>
      </c>
      <c r="AS12" s="4">
        <f ca="1">IFERROR((INDIRECT(ADDRESS(12,14)) - INDIRECT(ADDRESS(12,3)))/ INDIRECT(ADDRESS(12,3)),1)</f>
        <v>-0.13307763439861997</v>
      </c>
      <c r="AT12" s="3">
        <f ca="1">INDIRECT(ADDRESS(12,19))</f>
        <v>292893.38559999998</v>
      </c>
      <c r="AU12" s="4">
        <f ca="1">IFERROR(INDIRECT(ADDRESS(12,19)) / INDIRECT(ADDRESS(19,19)),0)</f>
        <v>7.2274209453962708E-3</v>
      </c>
      <c r="AV12" s="4">
        <f ca="1">IFERROR((INDIRECT(ADDRESS(12,19)) - INDIRECT(ADDRESS(12,3)))/ INDIRECT(ADDRESS(12,3)),1)</f>
        <v>-0.22661850255137653</v>
      </c>
      <c r="AW12" s="3">
        <f ca="1">INDIRECT(ADDRESS(12,24))</f>
        <v>257312.02359999999</v>
      </c>
      <c r="AX12" s="4">
        <f ca="1">IFERROR(INDIRECT(ADDRESS(12,24)) / INDIRECT(ADDRESS(19,24)),0)</f>
        <v>7.8915095264824459E-3</v>
      </c>
      <c r="AY12" s="4">
        <f ca="1">IFERROR((INDIRECT(ADDRESS(12,24)) - INDIRECT(ADDRESS(12,3)))/ INDIRECT(ADDRESS(12,3)),1)</f>
        <v>-0.32057066527587863</v>
      </c>
      <c r="AZ12" s="3">
        <f ca="1">INDIRECT(ADDRESS(12,29))</f>
        <v>221278.1961</v>
      </c>
      <c r="BA12" s="4">
        <f ca="1">IFERROR(INDIRECT(ADDRESS(12,29)) / INDIRECT(ADDRESS(19,29)),0)</f>
        <v>8.0242508873550906E-3</v>
      </c>
      <c r="BB12" s="4">
        <f ca="1">IFERROR((INDIRECT(ADDRESS(12,29)) - INDIRECT(ADDRESS(12,3)))/ INDIRECT(ADDRESS(12,3)),1)</f>
        <v>-0.41571755776601543</v>
      </c>
      <c r="BC12" s="3">
        <f ca="1">INDIRECT(ADDRESS(12,34))</f>
        <v>186142.64449999999</v>
      </c>
      <c r="BD12" s="4">
        <f ca="1">IFERROR(INDIRECT(ADDRESS(12,34)) / INDIRECT(ADDRESS(19,34)),0)</f>
        <v>7.3700978646372298E-3</v>
      </c>
      <c r="BE12" s="4">
        <f ca="1">IFERROR((INDIRECT(ADDRESS(12,34)) - INDIRECT(ADDRESS(12,3)))/ INDIRECT(ADDRESS(12,3)),1)</f>
        <v>-0.5084925634371964</v>
      </c>
    </row>
    <row r="13" spans="1:57" x14ac:dyDescent="0.25">
      <c r="A13" s="5"/>
      <c r="B13" s="1" t="s">
        <v>23</v>
      </c>
      <c r="C13">
        <v>7899613.5607049996</v>
      </c>
      <c r="D13">
        <v>7863028.1495960001</v>
      </c>
      <c r="E13">
        <v>7936790.7838909999</v>
      </c>
      <c r="F13">
        <v>7994294.52618</v>
      </c>
      <c r="G13">
        <v>7923276.185327</v>
      </c>
      <c r="H13">
        <v>7618788.7852410004</v>
      </c>
      <c r="I13">
        <v>4719578.6453170003</v>
      </c>
      <c r="J13">
        <v>4451907.7490839995</v>
      </c>
      <c r="K13">
        <v>4198069.0137189999</v>
      </c>
      <c r="L13">
        <v>3956364.835223</v>
      </c>
      <c r="M13">
        <v>3532272.5050479998</v>
      </c>
      <c r="N13">
        <v>3232405.8430320001</v>
      </c>
      <c r="O13">
        <v>2930086.531736</v>
      </c>
      <c r="P13">
        <v>2637095.92802</v>
      </c>
      <c r="Q13">
        <v>2353864.3187870001</v>
      </c>
      <c r="R13">
        <v>2052464.578186</v>
      </c>
      <c r="S13">
        <v>1876507.198508</v>
      </c>
      <c r="T13">
        <v>1689775.8163129999</v>
      </c>
      <c r="U13">
        <v>1508339.8751089999</v>
      </c>
      <c r="V13">
        <v>1333644.656531</v>
      </c>
      <c r="W13">
        <v>1151412.93833</v>
      </c>
      <c r="X13">
        <v>1015435.815649</v>
      </c>
      <c r="Y13">
        <v>992677.71162999992</v>
      </c>
      <c r="Z13">
        <v>969991.08976500004</v>
      </c>
      <c r="AA13">
        <v>947976.193279</v>
      </c>
      <c r="AB13">
        <v>919906.26662000001</v>
      </c>
      <c r="AC13">
        <v>915308.16613199993</v>
      </c>
      <c r="AD13">
        <v>909246.44979700004</v>
      </c>
      <c r="AE13">
        <v>903306.661464</v>
      </c>
      <c r="AF13">
        <v>897459.25313099998</v>
      </c>
      <c r="AG13">
        <v>880252.25080099993</v>
      </c>
      <c r="AH13">
        <v>886002.51347300003</v>
      </c>
      <c r="AK13" s="3" t="str">
        <f ca="1">INDIRECT(ADDRESS(13,2))</f>
        <v>Commercial</v>
      </c>
      <c r="AL13" s="3">
        <f ca="1">INDIRECT(ADDRESS(13,3))</f>
        <v>7899613.5607049996</v>
      </c>
      <c r="AM13" s="4">
        <f ca="1">IFERROR(INDIRECT(ADDRESS(13,3)) / INDIRECT(ADDRESS(19,3)),0)</f>
        <v>7.4440809487371459E-2</v>
      </c>
      <c r="AN13" s="3">
        <f ca="1">INDIRECT(ADDRESS(13,9))</f>
        <v>4719578.6453170003</v>
      </c>
      <c r="AO13" s="4">
        <f ca="1">IFERROR(INDIRECT(ADDRESS(13,9)) / INDIRECT(ADDRESS(19,9)),0)</f>
        <v>6.0962546449697834E-2</v>
      </c>
      <c r="AP13" s="4">
        <f ca="1">IFERROR((INDIRECT(ADDRESS(13,9)) - INDIRECT(ADDRESS(13,3)))/ INDIRECT(ADDRESS(13,3)),1)</f>
        <v>-0.40255575680390593</v>
      </c>
      <c r="AQ13" s="3">
        <f ca="1">INDIRECT(ADDRESS(13,14))</f>
        <v>3232405.8430320001</v>
      </c>
      <c r="AR13" s="4">
        <f ca="1">IFERROR(INDIRECT(ADDRESS(13,14)) / INDIRECT(ADDRESS(19,14)),0)</f>
        <v>5.9235741850515035E-2</v>
      </c>
      <c r="AS13" s="4">
        <f ca="1">IFERROR((INDIRECT(ADDRESS(13,14)) - INDIRECT(ADDRESS(13,3)))/ INDIRECT(ADDRESS(13,3)),1)</f>
        <v>-0.59081468755497901</v>
      </c>
      <c r="AT13" s="3">
        <f ca="1">INDIRECT(ADDRESS(13,19))</f>
        <v>1876507.198508</v>
      </c>
      <c r="AU13" s="4">
        <f ca="1">IFERROR(INDIRECT(ADDRESS(13,19)) / INDIRECT(ADDRESS(19,19)),0)</f>
        <v>4.6304587599002439E-2</v>
      </c>
      <c r="AV13" s="4">
        <f ca="1">IFERROR((INDIRECT(ADDRESS(13,19)) - INDIRECT(ADDRESS(13,3)))/ INDIRECT(ADDRESS(13,3)),1)</f>
        <v>-0.76245582342884488</v>
      </c>
      <c r="AW13" s="3">
        <f ca="1">INDIRECT(ADDRESS(13,24))</f>
        <v>1015435.815649</v>
      </c>
      <c r="AX13" s="4">
        <f ca="1">IFERROR(INDIRECT(ADDRESS(13,24)) / INDIRECT(ADDRESS(19,24)),0)</f>
        <v>3.1142428949152128E-2</v>
      </c>
      <c r="AY13" s="4">
        <f ca="1">IFERROR((INDIRECT(ADDRESS(13,24)) - INDIRECT(ADDRESS(13,3)))/ INDIRECT(ADDRESS(13,3)),1)</f>
        <v>-0.87145753297350181</v>
      </c>
      <c r="AZ13" s="3">
        <f ca="1">INDIRECT(ADDRESS(13,29))</f>
        <v>915308.16613199993</v>
      </c>
      <c r="BA13" s="4">
        <f ca="1">IFERROR(INDIRECT(ADDRESS(13,29)) / INDIRECT(ADDRESS(19,29)),0)</f>
        <v>3.3191984089425884E-2</v>
      </c>
      <c r="BB13" s="4">
        <f ca="1">IFERROR((INDIRECT(ADDRESS(13,29)) - INDIRECT(ADDRESS(13,3)))/ INDIRECT(ADDRESS(13,3)),1)</f>
        <v>-0.88413253900355171</v>
      </c>
      <c r="BC13" s="3">
        <f ca="1">INDIRECT(ADDRESS(13,34))</f>
        <v>886002.51347300003</v>
      </c>
      <c r="BD13" s="4">
        <f ca="1">IFERROR(INDIRECT(ADDRESS(13,34)) / INDIRECT(ADDRESS(19,34)),0)</f>
        <v>3.5080221677040675E-2</v>
      </c>
      <c r="BE13" s="4">
        <f ca="1">IFERROR((INDIRECT(ADDRESS(13,34)) - INDIRECT(ADDRESS(13,3)))/ INDIRECT(ADDRESS(13,3)),1)</f>
        <v>-0.88784229675737081</v>
      </c>
    </row>
    <row r="14" spans="1:57" x14ac:dyDescent="0.25">
      <c r="A14" s="5"/>
      <c r="B14" s="1" t="s">
        <v>24</v>
      </c>
      <c r="C14">
        <v>18990147.210269999</v>
      </c>
      <c r="D14">
        <v>18990145.210269999</v>
      </c>
      <c r="E14">
        <v>18990120.503593002</v>
      </c>
      <c r="F14">
        <v>18990096.074469998</v>
      </c>
      <c r="G14">
        <v>18980316.92797</v>
      </c>
      <c r="H14">
        <v>18969627.458870001</v>
      </c>
      <c r="I14">
        <v>10838797.02847</v>
      </c>
      <c r="J14">
        <v>10757021.03387</v>
      </c>
      <c r="K14">
        <v>10676738.698969999</v>
      </c>
      <c r="L14">
        <v>10597942.49327</v>
      </c>
      <c r="M14">
        <v>10520668.534569999</v>
      </c>
      <c r="N14">
        <v>5683925.8811699999</v>
      </c>
      <c r="O14">
        <v>5609757.3335699998</v>
      </c>
      <c r="P14">
        <v>5537134.5183700006</v>
      </c>
      <c r="Q14">
        <v>5466004.3233700003</v>
      </c>
      <c r="R14">
        <v>5396311.9985699998</v>
      </c>
      <c r="S14">
        <v>5328092.3457699995</v>
      </c>
      <c r="T14">
        <v>5261795.5856699999</v>
      </c>
      <c r="U14">
        <v>5196810.5170700001</v>
      </c>
      <c r="V14">
        <v>5133082.6835700003</v>
      </c>
      <c r="W14">
        <v>5070574.8768699998</v>
      </c>
      <c r="X14">
        <v>5009308.5410700003</v>
      </c>
      <c r="Y14">
        <v>4949449.9881699998</v>
      </c>
      <c r="Z14">
        <v>4890645.0740700001</v>
      </c>
      <c r="AA14">
        <v>4832830.2583699999</v>
      </c>
      <c r="AB14">
        <v>4775967.3419700004</v>
      </c>
      <c r="AC14">
        <v>3529636.4448699998</v>
      </c>
      <c r="AD14">
        <v>3475442.8299699998</v>
      </c>
      <c r="AE14">
        <v>3422231.3514700001</v>
      </c>
      <c r="AF14">
        <v>3369969.0788699999</v>
      </c>
      <c r="AG14">
        <v>3318628.4207700002</v>
      </c>
      <c r="AH14">
        <v>3268153.3665700001</v>
      </c>
      <c r="AK14" s="3" t="str">
        <f ca="1">INDIRECT(ADDRESS(14,2))</f>
        <v>Energy Production</v>
      </c>
      <c r="AL14" s="3">
        <f ca="1">INDIRECT(ADDRESS(14,3))</f>
        <v>18990147.210269999</v>
      </c>
      <c r="AM14" s="4">
        <f ca="1">IFERROR(INDIRECT(ADDRESS(14,3)) / INDIRECT(ADDRESS(19,3)),0)</f>
        <v>0.17895077015522862</v>
      </c>
      <c r="AN14" s="3">
        <f ca="1">INDIRECT(ADDRESS(14,9))</f>
        <v>10838797.02847</v>
      </c>
      <c r="AO14" s="4">
        <f ca="1">IFERROR(INDIRECT(ADDRESS(14,9)) / INDIRECT(ADDRESS(19,9)),0)</f>
        <v>0.14000416498252205</v>
      </c>
      <c r="AP14" s="4">
        <f ca="1">IFERROR((INDIRECT(ADDRESS(14,9)) - INDIRECT(ADDRESS(14,3)))/ INDIRECT(ADDRESS(14,3)),1)</f>
        <v>-0.42924102122766555</v>
      </c>
      <c r="AQ14" s="3">
        <f ca="1">INDIRECT(ADDRESS(14,14))</f>
        <v>5683925.8811699999</v>
      </c>
      <c r="AR14" s="4">
        <f ca="1">IFERROR(INDIRECT(ADDRESS(14,14)) / INDIRECT(ADDRESS(19,14)),0)</f>
        <v>0.10416129116962314</v>
      </c>
      <c r="AS14" s="4">
        <f ca="1">IFERROR((INDIRECT(ADDRESS(14,14)) - INDIRECT(ADDRESS(14,3)))/ INDIRECT(ADDRESS(14,3)),1)</f>
        <v>-0.70069079411369195</v>
      </c>
      <c r="AT14" s="3">
        <f ca="1">INDIRECT(ADDRESS(14,19))</f>
        <v>5328092.3457699995</v>
      </c>
      <c r="AU14" s="4">
        <f ca="1">IFERROR(INDIRECT(ADDRESS(14,19)) / INDIRECT(ADDRESS(19,19)),0)</f>
        <v>0.13147571134096533</v>
      </c>
      <c r="AV14" s="4">
        <f ca="1">IFERROR((INDIRECT(ADDRESS(14,19)) - INDIRECT(ADDRESS(14,3)))/ INDIRECT(ADDRESS(14,3)),1)</f>
        <v>-0.71942859174422136</v>
      </c>
      <c r="AW14" s="3">
        <f ca="1">INDIRECT(ADDRESS(14,24))</f>
        <v>5009308.5410700003</v>
      </c>
      <c r="AX14" s="4">
        <f ca="1">IFERROR(INDIRECT(ADDRESS(14,24)) / INDIRECT(ADDRESS(19,24)),0)</f>
        <v>0.15363062137506656</v>
      </c>
      <c r="AY14" s="4">
        <f ca="1">IFERROR((INDIRECT(ADDRESS(14,24)) - INDIRECT(ADDRESS(14,3)))/ INDIRECT(ADDRESS(14,3)),1)</f>
        <v>-0.73621539182376994</v>
      </c>
      <c r="AZ14" s="3">
        <f ca="1">INDIRECT(ADDRESS(14,29))</f>
        <v>3529636.4448699998</v>
      </c>
      <c r="BA14" s="4">
        <f ca="1">IFERROR(INDIRECT(ADDRESS(14,29)) / INDIRECT(ADDRESS(19,29)),0)</f>
        <v>0.12799583905677439</v>
      </c>
      <c r="BB14" s="4">
        <f ca="1">IFERROR((INDIRECT(ADDRESS(14,29)) - INDIRECT(ADDRESS(14,3)))/ INDIRECT(ADDRESS(14,3)),1)</f>
        <v>-0.81413327628333776</v>
      </c>
      <c r="BC14" s="3">
        <f ca="1">INDIRECT(ADDRESS(14,34))</f>
        <v>3268153.3665700001</v>
      </c>
      <c r="BD14" s="4">
        <f ca="1">IFERROR(INDIRECT(ADDRESS(14,34)) / INDIRECT(ADDRESS(19,34)),0)</f>
        <v>0.12939866741962255</v>
      </c>
      <c r="BE14" s="4">
        <f ca="1">IFERROR((INDIRECT(ADDRESS(14,34)) - INDIRECT(ADDRESS(14,3)))/ INDIRECT(ADDRESS(14,3)),1)</f>
        <v>-0.82790268393482702</v>
      </c>
    </row>
    <row r="15" spans="1:57" x14ac:dyDescent="0.25">
      <c r="A15" s="5"/>
      <c r="B15" s="1" t="s">
        <v>25</v>
      </c>
      <c r="C15">
        <v>221100.7</v>
      </c>
      <c r="D15">
        <v>220935.7</v>
      </c>
      <c r="E15">
        <v>220430.5</v>
      </c>
      <c r="F15">
        <v>219791.4</v>
      </c>
      <c r="G15">
        <v>217404.7</v>
      </c>
      <c r="H15">
        <v>213082.7</v>
      </c>
      <c r="I15">
        <v>208814.7</v>
      </c>
      <c r="J15">
        <v>203497.1</v>
      </c>
      <c r="K15">
        <v>198007.4</v>
      </c>
      <c r="L15">
        <v>192254.5</v>
      </c>
      <c r="M15">
        <v>184118</v>
      </c>
      <c r="N15">
        <v>128178.1</v>
      </c>
      <c r="O15">
        <v>119820.7</v>
      </c>
      <c r="P15">
        <v>111607.3</v>
      </c>
      <c r="Q15">
        <v>103757.1</v>
      </c>
      <c r="R15">
        <v>96144.36</v>
      </c>
      <c r="S15">
        <v>90239.03</v>
      </c>
      <c r="T15">
        <v>84669.75</v>
      </c>
      <c r="U15">
        <v>79674.87</v>
      </c>
      <c r="V15">
        <v>75226.5</v>
      </c>
      <c r="W15">
        <v>71123.02</v>
      </c>
      <c r="X15">
        <v>67794.97</v>
      </c>
      <c r="Y15">
        <v>65739.990000000005</v>
      </c>
      <c r="Z15">
        <v>63887.86</v>
      </c>
      <c r="AA15">
        <v>62196.38</v>
      </c>
      <c r="AB15">
        <v>60568.52</v>
      </c>
      <c r="AC15">
        <v>47186.31</v>
      </c>
      <c r="AD15">
        <v>45840.24</v>
      </c>
      <c r="AE15">
        <v>44542.879999999997</v>
      </c>
      <c r="AF15">
        <v>43281.7</v>
      </c>
      <c r="AG15">
        <v>41939.19</v>
      </c>
      <c r="AH15">
        <v>40845.61</v>
      </c>
      <c r="AK15" s="3" t="str">
        <f ca="1">INDIRECT(ADDRESS(15,2))</f>
        <v>Fugitive</v>
      </c>
      <c r="AL15" s="3">
        <f ca="1">INDIRECT(ADDRESS(15,3))</f>
        <v>221100.7</v>
      </c>
      <c r="AM15" s="4">
        <f ca="1">IFERROR(INDIRECT(ADDRESS(15,3)) / INDIRECT(ADDRESS(19,3)),0)</f>
        <v>2.0835088906242141E-3</v>
      </c>
      <c r="AN15" s="3">
        <f ca="1">INDIRECT(ADDRESS(15,9))</f>
        <v>208814.7</v>
      </c>
      <c r="AO15" s="4">
        <f ca="1">IFERROR(INDIRECT(ADDRESS(15,9)) / INDIRECT(ADDRESS(19,9)),0)</f>
        <v>2.6972483784672031E-3</v>
      </c>
      <c r="AP15" s="4">
        <f ca="1">IFERROR((INDIRECT(ADDRESS(15,9)) - INDIRECT(ADDRESS(15,3)))/ INDIRECT(ADDRESS(15,3)),1)</f>
        <v>-5.5567440537275546E-2</v>
      </c>
      <c r="AQ15" s="3">
        <f ca="1">INDIRECT(ADDRESS(15,14))</f>
        <v>128178.1</v>
      </c>
      <c r="AR15" s="4">
        <f ca="1">IFERROR(INDIRECT(ADDRESS(15,14)) / INDIRECT(ADDRESS(19,14)),0)</f>
        <v>2.3489392146895508E-3</v>
      </c>
      <c r="AS15" s="4">
        <f ca="1">IFERROR((INDIRECT(ADDRESS(15,14)) - INDIRECT(ADDRESS(15,3)))/ INDIRECT(ADDRESS(15,3)),1)</f>
        <v>-0.42027275354623483</v>
      </c>
      <c r="AT15" s="3">
        <f ca="1">INDIRECT(ADDRESS(15,19))</f>
        <v>90239.03</v>
      </c>
      <c r="AU15" s="4">
        <f ca="1">IFERROR(INDIRECT(ADDRESS(15,19)) / INDIRECT(ADDRESS(19,19)),0)</f>
        <v>2.2267333015329196E-3</v>
      </c>
      <c r="AV15" s="4">
        <f ca="1">IFERROR((INDIRECT(ADDRESS(15,19)) - INDIRECT(ADDRESS(15,3)))/ INDIRECT(ADDRESS(15,3)),1)</f>
        <v>-0.59186456668839138</v>
      </c>
      <c r="AW15" s="3">
        <f ca="1">INDIRECT(ADDRESS(15,24))</f>
        <v>67794.97</v>
      </c>
      <c r="AX15" s="4">
        <f ca="1">IFERROR(INDIRECT(ADDRESS(15,24)) / INDIRECT(ADDRESS(19,24)),0)</f>
        <v>2.0792057989263415E-3</v>
      </c>
      <c r="AY15" s="4">
        <f ca="1">IFERROR((INDIRECT(ADDRESS(15,24)) - INDIRECT(ADDRESS(15,3)))/ INDIRECT(ADDRESS(15,3)),1)</f>
        <v>-0.69337514535232136</v>
      </c>
      <c r="AZ15" s="3">
        <f ca="1">INDIRECT(ADDRESS(15,29))</f>
        <v>47186.31</v>
      </c>
      <c r="BA15" s="4">
        <f ca="1">IFERROR(INDIRECT(ADDRESS(15,29)) / INDIRECT(ADDRESS(19,29)),0)</f>
        <v>1.7111256172632563E-3</v>
      </c>
      <c r="BB15" s="4">
        <f ca="1">IFERROR((INDIRECT(ADDRESS(15,29)) - INDIRECT(ADDRESS(15,3)))/ INDIRECT(ADDRESS(15,3)),1)</f>
        <v>-0.78658452913084398</v>
      </c>
      <c r="BC15" s="3">
        <f ca="1">INDIRECT(ADDRESS(15,34))</f>
        <v>40845.61</v>
      </c>
      <c r="BD15" s="4">
        <f ca="1">IFERROR(INDIRECT(ADDRESS(15,34)) / INDIRECT(ADDRESS(19,34)),0)</f>
        <v>1.617233621287706E-3</v>
      </c>
      <c r="BE15" s="4">
        <f ca="1">IFERROR((INDIRECT(ADDRESS(15,34)) - INDIRECT(ADDRESS(15,3)))/ INDIRECT(ADDRESS(15,3)),1)</f>
        <v>-0.81526241210452977</v>
      </c>
    </row>
    <row r="16" spans="1:57" x14ac:dyDescent="0.25">
      <c r="A16" s="5"/>
      <c r="B16" s="1" t="s">
        <v>26</v>
      </c>
      <c r="C16">
        <v>20476927.013766222</v>
      </c>
      <c r="D16">
        <v>20465967.58387506</v>
      </c>
      <c r="E16">
        <v>20479194.553579979</v>
      </c>
      <c r="F16">
        <v>20485880.303291529</v>
      </c>
      <c r="G16">
        <v>20342635.343144681</v>
      </c>
      <c r="H16">
        <v>20189616.885230631</v>
      </c>
      <c r="I16">
        <v>18547500.21615437</v>
      </c>
      <c r="J16">
        <v>18148534.588387251</v>
      </c>
      <c r="K16">
        <v>17759811.030752301</v>
      </c>
      <c r="L16">
        <v>17380477.953248698</v>
      </c>
      <c r="M16">
        <v>17009921.477423299</v>
      </c>
      <c r="N16">
        <v>16659233.350439901</v>
      </c>
      <c r="O16">
        <v>16337464.324735301</v>
      </c>
      <c r="P16">
        <v>16022250.269451</v>
      </c>
      <c r="Q16">
        <v>15713608.0146842</v>
      </c>
      <c r="R16">
        <v>15411226.6912855</v>
      </c>
      <c r="S16">
        <v>15117549.1859637</v>
      </c>
      <c r="T16">
        <v>14843535.0421586</v>
      </c>
      <c r="U16">
        <v>14574698.9893621</v>
      </c>
      <c r="V16">
        <v>14310938.1879403</v>
      </c>
      <c r="W16">
        <v>14052141.7991412</v>
      </c>
      <c r="X16">
        <v>13799674.4808226</v>
      </c>
      <c r="Y16">
        <v>13550033.212841099</v>
      </c>
      <c r="Z16">
        <v>13304584.2547062</v>
      </c>
      <c r="AA16">
        <v>13062964.216193</v>
      </c>
      <c r="AB16">
        <v>12825011.7678512</v>
      </c>
      <c r="AC16">
        <v>12590339.114339899</v>
      </c>
      <c r="AD16">
        <v>12368038.4756747</v>
      </c>
      <c r="AE16">
        <v>12150794.5780077</v>
      </c>
      <c r="AF16">
        <v>11938421.5653405</v>
      </c>
      <c r="AG16">
        <v>11730733.2196707</v>
      </c>
      <c r="AH16">
        <v>11527533.6689987</v>
      </c>
      <c r="AK16" s="3" t="str">
        <f ca="1">INDIRECT(ADDRESS(16,2))</f>
        <v>Industrial</v>
      </c>
      <c r="AL16" s="3">
        <f ca="1">INDIRECT(ADDRESS(16,3))</f>
        <v>20476927.013766222</v>
      </c>
      <c r="AM16" s="4">
        <f ca="1">IFERROR(INDIRECT(ADDRESS(16,3)) / INDIRECT(ADDRESS(19,3)),0)</f>
        <v>0.19296121398912378</v>
      </c>
      <c r="AN16" s="3">
        <f ca="1">INDIRECT(ADDRESS(16,9))</f>
        <v>18547500.21615437</v>
      </c>
      <c r="AO16" s="4">
        <f ca="1">IFERROR(INDIRECT(ADDRESS(16,9)) / INDIRECT(ADDRESS(19,9)),0)</f>
        <v>0.23957707423204627</v>
      </c>
      <c r="AP16" s="4">
        <f ca="1">IFERROR((INDIRECT(ADDRESS(16,9)) - INDIRECT(ADDRESS(16,3)))/ INDIRECT(ADDRESS(16,3)),1)</f>
        <v>-9.422443105426595E-2</v>
      </c>
      <c r="AQ16" s="3">
        <f ca="1">INDIRECT(ADDRESS(16,14))</f>
        <v>16659233.350439901</v>
      </c>
      <c r="AR16" s="4">
        <f ca="1">IFERROR(INDIRECT(ADDRESS(16,14)) / INDIRECT(ADDRESS(19,14)),0)</f>
        <v>0.30529026802170006</v>
      </c>
      <c r="AS16" s="4">
        <f ca="1">IFERROR((INDIRECT(ADDRESS(16,14)) - INDIRECT(ADDRESS(16,3)))/ INDIRECT(ADDRESS(16,3)),1)</f>
        <v>-0.18643879820247264</v>
      </c>
      <c r="AT16" s="3">
        <f ca="1">INDIRECT(ADDRESS(16,19))</f>
        <v>15117549.1859637</v>
      </c>
      <c r="AU16" s="4">
        <f ca="1">IFERROR(INDIRECT(ADDRESS(16,19)) / INDIRECT(ADDRESS(19,19)),0)</f>
        <v>0.37303980561346073</v>
      </c>
      <c r="AV16" s="4">
        <f ca="1">IFERROR((INDIRECT(ADDRESS(16,19)) - INDIRECT(ADDRESS(16,3)))/ INDIRECT(ADDRESS(16,3)),1)</f>
        <v>-0.26172764224824951</v>
      </c>
      <c r="AW16" s="3">
        <f ca="1">INDIRECT(ADDRESS(16,24))</f>
        <v>13799674.4808226</v>
      </c>
      <c r="AX16" s="4">
        <f ca="1">IFERROR(INDIRECT(ADDRESS(16,24)) / INDIRECT(ADDRESS(19,24)),0)</f>
        <v>0.42322259606903284</v>
      </c>
      <c r="AY16" s="4">
        <f ca="1">IFERROR((INDIRECT(ADDRESS(16,24)) - INDIRECT(ADDRESS(16,3)))/ INDIRECT(ADDRESS(16,3)),1)</f>
        <v>-0.32608665003565429</v>
      </c>
      <c r="AZ16" s="3">
        <f ca="1">INDIRECT(ADDRESS(16,29))</f>
        <v>12590339.114339899</v>
      </c>
      <c r="BA16" s="4">
        <f ca="1">IFERROR(INDIRECT(ADDRESS(16,29)) / INDIRECT(ADDRESS(19,29)),0)</f>
        <v>0.45656572401144696</v>
      </c>
      <c r="BB16" s="4">
        <f ca="1">IFERROR((INDIRECT(ADDRESS(16,29)) - INDIRECT(ADDRESS(16,3)))/ INDIRECT(ADDRESS(16,3)),1)</f>
        <v>-0.3851450900872152</v>
      </c>
      <c r="BC16" s="3">
        <f ca="1">INDIRECT(ADDRESS(16,34))</f>
        <v>11527533.6689987</v>
      </c>
      <c r="BD16" s="4">
        <f ca="1">IFERROR(INDIRECT(ADDRESS(16,34)) / INDIRECT(ADDRESS(19,34)),0)</f>
        <v>0.45641906241651731</v>
      </c>
      <c r="BE16" s="4">
        <f ca="1">IFERROR((INDIRECT(ADDRESS(16,34)) - INDIRECT(ADDRESS(16,3)))/ INDIRECT(ADDRESS(16,3)),1)</f>
        <v>-0.43704767511018755</v>
      </c>
    </row>
    <row r="17" spans="1:57" x14ac:dyDescent="0.25">
      <c r="A17" s="5"/>
      <c r="B17" s="1" t="s">
        <v>27</v>
      </c>
      <c r="C17">
        <v>9744535.1999999993</v>
      </c>
      <c r="D17">
        <v>9717586</v>
      </c>
      <c r="E17">
        <v>9678923.5999999996</v>
      </c>
      <c r="F17">
        <v>9620721</v>
      </c>
      <c r="G17">
        <v>9369552.9000000004</v>
      </c>
      <c r="H17">
        <v>9053383.4000000004</v>
      </c>
      <c r="I17">
        <v>5991878.3399999999</v>
      </c>
      <c r="J17">
        <v>5589695.0300000003</v>
      </c>
      <c r="K17">
        <v>5174917.92</v>
      </c>
      <c r="L17">
        <v>4734054.04</v>
      </c>
      <c r="M17">
        <v>4257134.24</v>
      </c>
      <c r="N17">
        <v>3748529.13</v>
      </c>
      <c r="O17">
        <v>3250225.12</v>
      </c>
      <c r="P17">
        <v>2753258.39</v>
      </c>
      <c r="Q17">
        <v>2283415.58</v>
      </c>
      <c r="R17">
        <v>1857996.2</v>
      </c>
      <c r="S17">
        <v>1489349.3</v>
      </c>
      <c r="T17">
        <v>1186447.22</v>
      </c>
      <c r="U17">
        <v>938190.23</v>
      </c>
      <c r="V17">
        <v>740033.89</v>
      </c>
      <c r="W17">
        <v>585984.451</v>
      </c>
      <c r="X17">
        <v>467258.61700000003</v>
      </c>
      <c r="Y17">
        <v>394255.853</v>
      </c>
      <c r="Z17">
        <v>341774.05599999998</v>
      </c>
      <c r="AA17">
        <v>303347.59700000001</v>
      </c>
      <c r="AB17">
        <v>275401.71000000002</v>
      </c>
      <c r="AC17">
        <v>254140.55809999999</v>
      </c>
      <c r="AD17">
        <v>246235.92420000001</v>
      </c>
      <c r="AE17">
        <v>241252.62349999999</v>
      </c>
      <c r="AF17">
        <v>237823.91759999999</v>
      </c>
      <c r="AG17">
        <v>235428.55720000001</v>
      </c>
      <c r="AH17">
        <v>233459.9932</v>
      </c>
      <c r="AK17" s="3" t="str">
        <f ca="1">INDIRECT(ADDRESS(17,2))</f>
        <v>Residential</v>
      </c>
      <c r="AL17" s="3">
        <f ca="1">INDIRECT(ADDRESS(17,3))</f>
        <v>9744535.1999999993</v>
      </c>
      <c r="AM17" s="4">
        <f ca="1">IFERROR(INDIRECT(ADDRESS(17,3)) / INDIRECT(ADDRESS(19,3)),0)</f>
        <v>9.1826148556746326E-2</v>
      </c>
      <c r="AN17" s="3">
        <f ca="1">INDIRECT(ADDRESS(17,9))</f>
        <v>5991878.3399999999</v>
      </c>
      <c r="AO17" s="4">
        <f ca="1">IFERROR(INDIRECT(ADDRESS(17,9)) / INDIRECT(ADDRESS(19,9)),0)</f>
        <v>7.7396773965327903E-2</v>
      </c>
      <c r="AP17" s="4">
        <f ca="1">IFERROR((INDIRECT(ADDRESS(17,9)) - INDIRECT(ADDRESS(17,3)))/ INDIRECT(ADDRESS(17,3)),1)</f>
        <v>-0.38510373075567522</v>
      </c>
      <c r="AQ17" s="3">
        <f ca="1">INDIRECT(ADDRESS(17,14))</f>
        <v>3748529.13</v>
      </c>
      <c r="AR17" s="4">
        <f ca="1">IFERROR(INDIRECT(ADDRESS(17,14)) / INDIRECT(ADDRESS(19,14)),0)</f>
        <v>6.8694005222913315E-2</v>
      </c>
      <c r="AS17" s="4">
        <f ca="1">IFERROR((INDIRECT(ADDRESS(17,14)) - INDIRECT(ADDRESS(17,3)))/ INDIRECT(ADDRESS(17,3)),1)</f>
        <v>-0.61531986358877333</v>
      </c>
      <c r="AT17" s="3">
        <f ca="1">INDIRECT(ADDRESS(17,19))</f>
        <v>1489349.3</v>
      </c>
      <c r="AU17" s="4">
        <f ca="1">IFERROR(INDIRECT(ADDRESS(17,19)) / INDIRECT(ADDRESS(19,19)),0)</f>
        <v>3.6751100759003535E-2</v>
      </c>
      <c r="AV17" s="4">
        <f ca="1">IFERROR((INDIRECT(ADDRESS(17,19)) - INDIRECT(ADDRESS(17,3)))/ INDIRECT(ADDRESS(17,3)),1)</f>
        <v>-0.84716056031076781</v>
      </c>
      <c r="AW17" s="3">
        <f ca="1">INDIRECT(ADDRESS(17,24))</f>
        <v>467258.61700000003</v>
      </c>
      <c r="AX17" s="4">
        <f ca="1">IFERROR(INDIRECT(ADDRESS(17,24)) / INDIRECT(ADDRESS(19,24)),0)</f>
        <v>1.4330367371867004E-2</v>
      </c>
      <c r="AY17" s="4">
        <f ca="1">IFERROR((INDIRECT(ADDRESS(17,24)) - INDIRECT(ADDRESS(17,3)))/ INDIRECT(ADDRESS(17,3)),1)</f>
        <v>-0.95204916320688127</v>
      </c>
      <c r="AZ17" s="3">
        <f ca="1">INDIRECT(ADDRESS(17,29))</f>
        <v>254140.55809999999</v>
      </c>
      <c r="BA17" s="4">
        <f ca="1">IFERROR(INDIRECT(ADDRESS(17,29)) / INDIRECT(ADDRESS(19,29)),0)</f>
        <v>9.2159446108519821E-3</v>
      </c>
      <c r="BB17" s="4">
        <f ca="1">IFERROR((INDIRECT(ADDRESS(17,29)) - INDIRECT(ADDRESS(17,3)))/ INDIRECT(ADDRESS(17,3)),1)</f>
        <v>-0.97391968391678652</v>
      </c>
      <c r="BC17" s="3">
        <f ca="1">INDIRECT(ADDRESS(17,34))</f>
        <v>233459.9932</v>
      </c>
      <c r="BD17" s="4">
        <f ca="1">IFERROR(INDIRECT(ADDRESS(17,34)) / INDIRECT(ADDRESS(19,34)),0)</f>
        <v>9.2435723258543386E-3</v>
      </c>
      <c r="BE17" s="4">
        <f ca="1">IFERROR((INDIRECT(ADDRESS(17,34)) - INDIRECT(ADDRESS(17,3)))/ INDIRECT(ADDRESS(17,3)),1)</f>
        <v>-0.97604195701401952</v>
      </c>
    </row>
    <row r="18" spans="1:57" x14ac:dyDescent="0.25">
      <c r="A18" s="5"/>
      <c r="B18" s="1" t="s">
        <v>28</v>
      </c>
      <c r="C18">
        <v>48408352.039399996</v>
      </c>
      <c r="D18">
        <v>47685909.627999999</v>
      </c>
      <c r="E18">
        <v>45955442.520829998</v>
      </c>
      <c r="F18">
        <v>44056961.305569999</v>
      </c>
      <c r="G18">
        <v>42256052.9353</v>
      </c>
      <c r="H18">
        <v>40091972.225129999</v>
      </c>
      <c r="I18">
        <v>36749751.784960002</v>
      </c>
      <c r="J18">
        <v>34334312.174699999</v>
      </c>
      <c r="K18">
        <v>31852368.014400002</v>
      </c>
      <c r="L18">
        <v>29356626.460299999</v>
      </c>
      <c r="M18">
        <v>26950984.498100001</v>
      </c>
      <c r="N18">
        <v>24787913.1668</v>
      </c>
      <c r="O18">
        <v>22875626.855599999</v>
      </c>
      <c r="P18">
        <v>21148645.843400002</v>
      </c>
      <c r="Q18">
        <v>19531516.282200001</v>
      </c>
      <c r="R18">
        <v>17833175.201000001</v>
      </c>
      <c r="S18">
        <v>16330667.2797</v>
      </c>
      <c r="T18">
        <v>15324429.0875</v>
      </c>
      <c r="U18">
        <v>14326478.736400001</v>
      </c>
      <c r="V18">
        <v>13370632.575099999</v>
      </c>
      <c r="W18">
        <v>12651457.4551</v>
      </c>
      <c r="X18">
        <v>11989401.065099999</v>
      </c>
      <c r="Y18">
        <v>11511487.0251</v>
      </c>
      <c r="Z18">
        <v>11068737.3751</v>
      </c>
      <c r="AA18">
        <v>10671702.565099999</v>
      </c>
      <c r="AB18">
        <v>10323009.565099999</v>
      </c>
      <c r="AC18">
        <v>10018292.3651</v>
      </c>
      <c r="AD18">
        <v>9773125.1051000003</v>
      </c>
      <c r="AE18">
        <v>9566534.1250999998</v>
      </c>
      <c r="AF18">
        <v>9392707.1151000001</v>
      </c>
      <c r="AG18">
        <v>9244892.7150999997</v>
      </c>
      <c r="AH18">
        <v>9114330.6951000001</v>
      </c>
      <c r="AK18" s="3" t="str">
        <f ca="1">INDIRECT(ADDRESS(18,2))</f>
        <v>Transportation</v>
      </c>
      <c r="AL18" s="3">
        <f ca="1">INDIRECT(ADDRESS(18,3))</f>
        <v>48408352.039399996</v>
      </c>
      <c r="AM18" s="4">
        <f ca="1">IFERROR(INDIRECT(ADDRESS(18,3)) / INDIRECT(ADDRESS(19,3)),0)</f>
        <v>0.456168758645073</v>
      </c>
      <c r="AN18" s="3">
        <f ca="1">INDIRECT(ADDRESS(18,9))</f>
        <v>36749751.784960002</v>
      </c>
      <c r="AO18" s="4">
        <f ca="1">IFERROR(INDIRECT(ADDRESS(18,9)) / INDIRECT(ADDRESS(19,9)),0)</f>
        <v>0.47469459004110137</v>
      </c>
      <c r="AP18" s="4">
        <f ca="1">IFERROR((INDIRECT(ADDRESS(18,9)) - INDIRECT(ADDRESS(18,3)))/ INDIRECT(ADDRESS(18,3)),1)</f>
        <v>-0.24083861076185684</v>
      </c>
      <c r="AQ18" s="3">
        <f ca="1">INDIRECT(ADDRESS(18,14))</f>
        <v>24787913.1668</v>
      </c>
      <c r="AR18" s="4">
        <f ca="1">IFERROR(INDIRECT(ADDRESS(18,14)) / INDIRECT(ADDRESS(19,14)),0)</f>
        <v>0.45425311568681365</v>
      </c>
      <c r="AS18" s="4">
        <f ca="1">IFERROR((INDIRECT(ADDRESS(18,14)) - INDIRECT(ADDRESS(18,3)))/ INDIRECT(ADDRESS(18,3)),1)</f>
        <v>-0.48794139600900083</v>
      </c>
      <c r="AT18" s="3">
        <f ca="1">INDIRECT(ADDRESS(18,19))</f>
        <v>16330667.2797</v>
      </c>
      <c r="AU18" s="4">
        <f ca="1">IFERROR(INDIRECT(ADDRESS(18,19)) / INDIRECT(ADDRESS(19,19)),0)</f>
        <v>0.40297464044063869</v>
      </c>
      <c r="AV18" s="4">
        <f ca="1">IFERROR((INDIRECT(ADDRESS(18,19)) - INDIRECT(ADDRESS(18,3)))/ INDIRECT(ADDRESS(18,3)),1)</f>
        <v>-0.66264773346532591</v>
      </c>
      <c r="AW18" s="3">
        <f ca="1">INDIRECT(ADDRESS(18,24))</f>
        <v>11989401.065099999</v>
      </c>
      <c r="AX18" s="4">
        <f ca="1">IFERROR(INDIRECT(ADDRESS(18,24)) / INDIRECT(ADDRESS(19,24)),0)</f>
        <v>0.36770327090947269</v>
      </c>
      <c r="AY18" s="4">
        <f ca="1">IFERROR((INDIRECT(ADDRESS(18,24)) - INDIRECT(ADDRESS(18,3)))/ INDIRECT(ADDRESS(18,3)),1)</f>
        <v>-0.7523278409613755</v>
      </c>
      <c r="AZ18" s="3">
        <f ca="1">INDIRECT(ADDRESS(18,29))</f>
        <v>10018292.3651</v>
      </c>
      <c r="BA18" s="4">
        <f ca="1">IFERROR(INDIRECT(ADDRESS(18,29)) / INDIRECT(ADDRESS(19,29)),0)</f>
        <v>0.36329513172688238</v>
      </c>
      <c r="BB18" s="4">
        <f ca="1">IFERROR((INDIRECT(ADDRESS(18,29)) - INDIRECT(ADDRESS(18,3)))/ INDIRECT(ADDRESS(18,3)),1)</f>
        <v>-0.79304620085091893</v>
      </c>
      <c r="BC18" s="3">
        <f ca="1">INDIRECT(ADDRESS(18,34))</f>
        <v>9114330.6951000001</v>
      </c>
      <c r="BD18" s="4">
        <f ca="1">IFERROR(INDIRECT(ADDRESS(18,34)) / INDIRECT(ADDRESS(19,34)),0)</f>
        <v>0.36087114467504017</v>
      </c>
      <c r="BE18" s="4">
        <f ca="1">IFERROR((INDIRECT(ADDRESS(18,34)) - INDIRECT(ADDRESS(18,3)))/ INDIRECT(ADDRESS(18,3)),1)</f>
        <v>-0.81171987247816724</v>
      </c>
    </row>
    <row r="19" spans="1:57" x14ac:dyDescent="0.25">
      <c r="A19" s="1" t="s">
        <v>21</v>
      </c>
      <c r="B19" s="1"/>
      <c r="C19">
        <v>106119393.58404119</v>
      </c>
      <c r="D19">
        <v>105322290.1316411</v>
      </c>
      <c r="E19">
        <v>103639612.5533233</v>
      </c>
      <c r="F19">
        <v>101746447.0185075</v>
      </c>
      <c r="G19">
        <v>99464959.236241683</v>
      </c>
      <c r="H19">
        <v>96508987.792171642</v>
      </c>
      <c r="I19">
        <v>77417675.608601376</v>
      </c>
      <c r="J19">
        <v>73840039.625941262</v>
      </c>
      <c r="K19">
        <v>70208503.206941292</v>
      </c>
      <c r="L19">
        <v>66559651.500441708</v>
      </c>
      <c r="M19">
        <v>62790225.085141294</v>
      </c>
      <c r="N19">
        <v>54568504.454441898</v>
      </c>
      <c r="O19">
        <v>51444327.400441296</v>
      </c>
      <c r="P19">
        <v>48524303.264940999</v>
      </c>
      <c r="Q19">
        <v>45759382.577341206</v>
      </c>
      <c r="R19">
        <v>42947386.798041508</v>
      </c>
      <c r="S19">
        <v>40525297.725541703</v>
      </c>
      <c r="T19">
        <v>38676495.735841602</v>
      </c>
      <c r="U19">
        <v>36902949.301641107</v>
      </c>
      <c r="V19">
        <v>35235191.096041299</v>
      </c>
      <c r="W19">
        <v>33847171.086941198</v>
      </c>
      <c r="X19">
        <v>32606185.5132416</v>
      </c>
      <c r="Y19">
        <v>31713850.489241101</v>
      </c>
      <c r="Z19">
        <v>30882676.653041199</v>
      </c>
      <c r="AA19">
        <v>30116872.829742</v>
      </c>
      <c r="AB19">
        <v>29408466.873941202</v>
      </c>
      <c r="AC19">
        <v>27576181.1546419</v>
      </c>
      <c r="AD19">
        <v>27032179.208841689</v>
      </c>
      <c r="AE19">
        <v>26535885.4546417</v>
      </c>
      <c r="AF19">
        <v>26079859.423541501</v>
      </c>
      <c r="AG19">
        <v>25645048.096041702</v>
      </c>
      <c r="AH19">
        <v>25256468.4918417</v>
      </c>
    </row>
    <row r="20" spans="1:57" x14ac:dyDescent="0.25">
      <c r="A20" s="5" t="s">
        <v>2</v>
      </c>
      <c r="B20" s="1" t="s">
        <v>22</v>
      </c>
      <c r="C20">
        <v>378717.85989999998</v>
      </c>
      <c r="D20">
        <v>378717.85989999998</v>
      </c>
      <c r="E20">
        <v>378717.85989999998</v>
      </c>
      <c r="F20">
        <v>378717.85989999998</v>
      </c>
      <c r="G20">
        <v>376081.97399999999</v>
      </c>
      <c r="H20">
        <v>368094.52559999999</v>
      </c>
      <c r="I20">
        <v>360067.82439999998</v>
      </c>
      <c r="J20">
        <v>347452.84039999999</v>
      </c>
      <c r="K20">
        <v>334321.17739999999</v>
      </c>
      <c r="L20">
        <v>320552.2807</v>
      </c>
      <c r="M20">
        <v>305502.12459999998</v>
      </c>
      <c r="N20">
        <v>289560.7402</v>
      </c>
      <c r="O20">
        <v>267485.8308</v>
      </c>
      <c r="P20">
        <v>242683.80040000001</v>
      </c>
      <c r="Q20">
        <v>214742.74460000001</v>
      </c>
      <c r="R20">
        <v>182673.85190000001</v>
      </c>
      <c r="S20">
        <v>149073.50090000001</v>
      </c>
      <c r="T20">
        <v>130998.6344</v>
      </c>
      <c r="U20">
        <v>111572.6923</v>
      </c>
      <c r="V20">
        <v>90695.944799999997</v>
      </c>
      <c r="W20">
        <v>67197.000200000009</v>
      </c>
      <c r="X20">
        <v>44339.943899999998</v>
      </c>
      <c r="Y20">
        <v>36660.257999999987</v>
      </c>
      <c r="Z20">
        <v>29540.388999999999</v>
      </c>
      <c r="AA20">
        <v>22789.426500000001</v>
      </c>
      <c r="AB20">
        <v>15748.9121</v>
      </c>
      <c r="AC20">
        <v>12420.943600000001</v>
      </c>
      <c r="AD20">
        <v>7934.8977000000004</v>
      </c>
      <c r="AE20">
        <v>3585.5434</v>
      </c>
      <c r="AF20">
        <v>498.15882667400001</v>
      </c>
      <c r="AG20">
        <v>498.15882667400001</v>
      </c>
      <c r="AH20">
        <v>498.15882667400001</v>
      </c>
      <c r="AK20" s="3" t="str">
        <f ca="1">INDIRECT(ADDRESS(20,2))</f>
        <v>Agriculture</v>
      </c>
      <c r="AL20" s="3">
        <f ca="1">INDIRECT(ADDRESS(20,3))</f>
        <v>378717.85989999998</v>
      </c>
      <c r="AM20" s="4">
        <f ca="1">IFERROR(INDIRECT(ADDRESS(20,3)) / INDIRECT(ADDRESS(27,3)),0)</f>
        <v>3.5687902758328015E-3</v>
      </c>
      <c r="AN20" s="3">
        <f ca="1">INDIRECT(ADDRESS(20,9))</f>
        <v>360067.82439999998</v>
      </c>
      <c r="AO20" s="4">
        <f ca="1">IFERROR(INDIRECT(ADDRESS(20,9)) / INDIRECT(ADDRESS(27,9)),0)</f>
        <v>4.6288989594485599E-3</v>
      </c>
      <c r="AP20" s="4">
        <f ca="1">IFERROR((INDIRECT(ADDRESS(20,9)) - INDIRECT(ADDRESS(20,3)))/ INDIRECT(ADDRESS(20,3)),1)</f>
        <v>-4.9245196687910414E-2</v>
      </c>
      <c r="AQ20" s="3">
        <f ca="1">INDIRECT(ADDRESS(20,14))</f>
        <v>289560.7402</v>
      </c>
      <c r="AR20" s="4">
        <f ca="1">IFERROR(INDIRECT(ADDRESS(20,14)) / INDIRECT(ADDRESS(27,14)),0)</f>
        <v>5.4324559188796877E-3</v>
      </c>
      <c r="AS20" s="4">
        <f ca="1">IFERROR((INDIRECT(ADDRESS(20,14)) - INDIRECT(ADDRESS(20,3)))/ INDIRECT(ADDRESS(20,3)),1)</f>
        <v>-0.23541831305115057</v>
      </c>
      <c r="AT20" s="3">
        <f ca="1">INDIRECT(ADDRESS(20,19))</f>
        <v>149073.50090000001</v>
      </c>
      <c r="AU20" s="4">
        <f ca="1">IFERROR(INDIRECT(ADDRESS(20,19)) / INDIRECT(ADDRESS(27,19)),0)</f>
        <v>4.0546690059595804E-3</v>
      </c>
      <c r="AV20" s="4">
        <f ca="1">IFERROR((INDIRECT(ADDRESS(20,19)) - INDIRECT(ADDRESS(20,3)))/ INDIRECT(ADDRESS(20,3)),1)</f>
        <v>-0.60637319576276993</v>
      </c>
      <c r="AW20" s="3">
        <f ca="1">INDIRECT(ADDRESS(20,24))</f>
        <v>44339.943899999998</v>
      </c>
      <c r="AX20" s="4">
        <f ca="1">IFERROR(INDIRECT(ADDRESS(20,24)) / INDIRECT(ADDRESS(27,24)),0)</f>
        <v>1.5810047420940548E-3</v>
      </c>
      <c r="AY20" s="4">
        <f ca="1">IFERROR((INDIRECT(ADDRESS(20,24)) - INDIRECT(ADDRESS(20,3)))/ INDIRECT(ADDRESS(20,3)),1)</f>
        <v>-0.88292090604940598</v>
      </c>
      <c r="AZ20" s="3">
        <f ca="1">INDIRECT(ADDRESS(20,29))</f>
        <v>12420.943600000001</v>
      </c>
      <c r="BA20" s="4">
        <f ca="1">IFERROR(INDIRECT(ADDRESS(20,29)) / INDIRECT(ADDRESS(27,29)),0)</f>
        <v>5.4396076814132606E-4</v>
      </c>
      <c r="BB20" s="4">
        <f ca="1">IFERROR((INDIRECT(ADDRESS(20,29)) - INDIRECT(ADDRESS(20,3)))/ INDIRECT(ADDRESS(20,3)),1)</f>
        <v>-0.96720264630963082</v>
      </c>
      <c r="BC20" s="3">
        <f ca="1">INDIRECT(ADDRESS(20,34))</f>
        <v>498.15882667400001</v>
      </c>
      <c r="BD20" s="4">
        <f ca="1">IFERROR(INDIRECT(ADDRESS(20,34)) / INDIRECT(ADDRESS(27,34)),0)</f>
        <v>2.4055549263478107E-5</v>
      </c>
      <c r="BE20" s="4">
        <f ca="1">IFERROR((INDIRECT(ADDRESS(20,34)) - INDIRECT(ADDRESS(20,3)))/ INDIRECT(ADDRESS(20,3)),1)</f>
        <v>-0.99868461754931359</v>
      </c>
    </row>
    <row r="21" spans="1:57" x14ac:dyDescent="0.25">
      <c r="A21" s="5"/>
      <c r="B21" s="1" t="s">
        <v>23</v>
      </c>
      <c r="C21">
        <v>7899613.5607049996</v>
      </c>
      <c r="D21">
        <v>7857007.1495960001</v>
      </c>
      <c r="E21">
        <v>7904487.8838910004</v>
      </c>
      <c r="F21">
        <v>7989641.3261799999</v>
      </c>
      <c r="G21">
        <v>8027181.9911799999</v>
      </c>
      <c r="H21">
        <v>7739175.6765299998</v>
      </c>
      <c r="I21">
        <v>4795588.8798000002</v>
      </c>
      <c r="J21">
        <v>4452110.3476</v>
      </c>
      <c r="K21">
        <v>4101521.4182000002</v>
      </c>
      <c r="L21">
        <v>3744815.3867000001</v>
      </c>
      <c r="M21">
        <v>3279255.5827000001</v>
      </c>
      <c r="N21">
        <v>2920011.6948000002</v>
      </c>
      <c r="O21">
        <v>2588580.3303</v>
      </c>
      <c r="P21">
        <v>2261973.2686000001</v>
      </c>
      <c r="Q21">
        <v>1940520.8615999999</v>
      </c>
      <c r="R21">
        <v>1605300.0706</v>
      </c>
      <c r="S21">
        <v>1347603.1459999999</v>
      </c>
      <c r="T21">
        <v>1163005.338</v>
      </c>
      <c r="U21">
        <v>983320.10099999991</v>
      </c>
      <c r="V21">
        <v>809877.58700000006</v>
      </c>
      <c r="W21">
        <v>636753.723</v>
      </c>
      <c r="X21">
        <v>494834.40100000001</v>
      </c>
      <c r="Y21">
        <v>445115.52100000001</v>
      </c>
      <c r="Z21">
        <v>398658.70199999999</v>
      </c>
      <c r="AA21">
        <v>355106.37400000001</v>
      </c>
      <c r="AB21">
        <v>311748.24</v>
      </c>
      <c r="AC21">
        <v>282509.43</v>
      </c>
      <c r="AD21">
        <v>267841.30099999998</v>
      </c>
      <c r="AE21">
        <v>253934.99799999999</v>
      </c>
      <c r="AF21">
        <v>243973.43580949001</v>
      </c>
      <c r="AG21">
        <v>242497.85905063001</v>
      </c>
      <c r="AH21">
        <v>242015.49326545</v>
      </c>
      <c r="AK21" s="3" t="str">
        <f ca="1">INDIRECT(ADDRESS(21,2))</f>
        <v>Commercial</v>
      </c>
      <c r="AL21" s="3">
        <f ca="1">INDIRECT(ADDRESS(21,3))</f>
        <v>7899613.5607049996</v>
      </c>
      <c r="AM21" s="4">
        <f ca="1">IFERROR(INDIRECT(ADDRESS(21,3)) / INDIRECT(ADDRESS(27,3)),0)</f>
        <v>7.4440809487371459E-2</v>
      </c>
      <c r="AN21" s="3">
        <f ca="1">INDIRECT(ADDRESS(21,9))</f>
        <v>4795588.8798000002</v>
      </c>
      <c r="AO21" s="4">
        <f ca="1">IFERROR(INDIRECT(ADDRESS(21,9)) / INDIRECT(ADDRESS(27,9)),0)</f>
        <v>6.1650319388130551E-2</v>
      </c>
      <c r="AP21" s="4">
        <f ca="1">IFERROR((INDIRECT(ADDRESS(21,9)) - INDIRECT(ADDRESS(21,3)))/ INDIRECT(ADDRESS(21,3)),1)</f>
        <v>-0.39293373746094756</v>
      </c>
      <c r="AQ21" s="3">
        <f ca="1">INDIRECT(ADDRESS(21,14))</f>
        <v>2920011.6948000002</v>
      </c>
      <c r="AR21" s="4">
        <f ca="1">IFERROR(INDIRECT(ADDRESS(21,14)) / INDIRECT(ADDRESS(27,14)),0)</f>
        <v>5.4782408705191486E-2</v>
      </c>
      <c r="AS21" s="4">
        <f ca="1">IFERROR((INDIRECT(ADDRESS(21,14)) - INDIRECT(ADDRESS(21,3)))/ INDIRECT(ADDRESS(21,3)),1)</f>
        <v>-0.63036018504436764</v>
      </c>
      <c r="AT21" s="3">
        <f ca="1">INDIRECT(ADDRESS(21,19))</f>
        <v>1347603.1459999999</v>
      </c>
      <c r="AU21" s="4">
        <f ca="1">IFERROR(INDIRECT(ADDRESS(21,19)) / INDIRECT(ADDRESS(27,19)),0)</f>
        <v>3.6653628414383223E-2</v>
      </c>
      <c r="AV21" s="4">
        <f ca="1">IFERROR((INDIRECT(ADDRESS(21,19)) - INDIRECT(ADDRESS(21,3)))/ INDIRECT(ADDRESS(21,3)),1)</f>
        <v>-0.82940897859822238</v>
      </c>
      <c r="AW21" s="3">
        <f ca="1">INDIRECT(ADDRESS(21,24))</f>
        <v>494834.40100000001</v>
      </c>
      <c r="AX21" s="4">
        <f ca="1">IFERROR(INDIRECT(ADDRESS(21,24)) / INDIRECT(ADDRESS(27,24)),0)</f>
        <v>1.7644035281070149E-2</v>
      </c>
      <c r="AY21" s="4">
        <f ca="1">IFERROR((INDIRECT(ADDRESS(21,24)) - INDIRECT(ADDRESS(21,3)))/ INDIRECT(ADDRESS(21,3)),1)</f>
        <v>-0.93735966991329156</v>
      </c>
      <c r="AZ21" s="3">
        <f ca="1">INDIRECT(ADDRESS(21,29))</f>
        <v>282509.43</v>
      </c>
      <c r="BA21" s="4">
        <f ca="1">IFERROR(INDIRECT(ADDRESS(21,29)) / INDIRECT(ADDRESS(27,29)),0)</f>
        <v>1.2372171672204372E-2</v>
      </c>
      <c r="BB21" s="4">
        <f ca="1">IFERROR((INDIRECT(ADDRESS(21,29)) - INDIRECT(ADDRESS(21,3)))/ INDIRECT(ADDRESS(21,3)),1)</f>
        <v>-0.9642375632897684</v>
      </c>
      <c r="BC21" s="3">
        <f ca="1">INDIRECT(ADDRESS(21,34))</f>
        <v>242015.49326545</v>
      </c>
      <c r="BD21" s="4">
        <f ca="1">IFERROR(INDIRECT(ADDRESS(21,34)) / INDIRECT(ADDRESS(27,34)),0)</f>
        <v>1.1686665595472503E-2</v>
      </c>
      <c r="BE21" s="4">
        <f ca="1">IFERROR((INDIRECT(ADDRESS(21,34)) - INDIRECT(ADDRESS(21,3)))/ INDIRECT(ADDRESS(21,3)),1)</f>
        <v>-0.96936362881479343</v>
      </c>
    </row>
    <row r="22" spans="1:57" x14ac:dyDescent="0.25">
      <c r="A22" s="5"/>
      <c r="B22" s="1" t="s">
        <v>24</v>
      </c>
      <c r="C22">
        <v>18990147.210269999</v>
      </c>
      <c r="D22">
        <v>18990145.210269999</v>
      </c>
      <c r="E22">
        <v>18990116.196369998</v>
      </c>
      <c r="F22">
        <v>18990086.182569999</v>
      </c>
      <c r="G22">
        <v>18970658.484859999</v>
      </c>
      <c r="H22">
        <v>18934800.46195</v>
      </c>
      <c r="I22">
        <v>10804823.150180001</v>
      </c>
      <c r="J22">
        <v>10695532.25171</v>
      </c>
      <c r="K22">
        <v>10588057.5283</v>
      </c>
      <c r="L22">
        <v>10481978.3411</v>
      </c>
      <c r="M22">
        <v>10375403.822699999</v>
      </c>
      <c r="N22">
        <v>5508124.8882999998</v>
      </c>
      <c r="O22">
        <v>5380230.0652999999</v>
      </c>
      <c r="P22">
        <v>5250098.4638</v>
      </c>
      <c r="Q22">
        <v>5117025.7822000002</v>
      </c>
      <c r="R22">
        <v>4978951.3660000004</v>
      </c>
      <c r="S22">
        <v>4842865.6818000004</v>
      </c>
      <c r="T22">
        <v>4752584.9325000001</v>
      </c>
      <c r="U22">
        <v>4661783.6628999999</v>
      </c>
      <c r="V22">
        <v>4570290.0096000005</v>
      </c>
      <c r="W22">
        <v>4475485.0547000002</v>
      </c>
      <c r="X22">
        <v>4384938.6335000005</v>
      </c>
      <c r="Y22">
        <v>4330743.0953000002</v>
      </c>
      <c r="Z22">
        <v>4279224.8728</v>
      </c>
      <c r="AA22">
        <v>4229860.5383000001</v>
      </c>
      <c r="AB22">
        <v>4181176.8171999999</v>
      </c>
      <c r="AC22">
        <v>2951138.5942000002</v>
      </c>
      <c r="AD22">
        <v>2910041.6874000002</v>
      </c>
      <c r="AE22">
        <v>2870236.2250000001</v>
      </c>
      <c r="AF22">
        <v>2833906.4107908299</v>
      </c>
      <c r="AG22">
        <v>2804460.9908111901</v>
      </c>
      <c r="AH22">
        <v>2775663.9537376999</v>
      </c>
      <c r="AK22" s="3" t="str">
        <f ca="1">INDIRECT(ADDRESS(22,2))</f>
        <v>Energy Production</v>
      </c>
      <c r="AL22" s="3">
        <f ca="1">INDIRECT(ADDRESS(22,3))</f>
        <v>18990147.210269999</v>
      </c>
      <c r="AM22" s="4">
        <f ca="1">IFERROR(INDIRECT(ADDRESS(22,3)) / INDIRECT(ADDRESS(27,3)),0)</f>
        <v>0.17895077015522862</v>
      </c>
      <c r="AN22" s="3">
        <f ca="1">INDIRECT(ADDRESS(22,9))</f>
        <v>10804823.150180001</v>
      </c>
      <c r="AO22" s="4">
        <f ca="1">IFERROR(INDIRECT(ADDRESS(22,9)) / INDIRECT(ADDRESS(27,9)),0)</f>
        <v>0.13890281565767673</v>
      </c>
      <c r="AP22" s="4">
        <f ca="1">IFERROR((INDIRECT(ADDRESS(22,9)) - INDIRECT(ADDRESS(22,3)))/ INDIRECT(ADDRESS(22,3)),1)</f>
        <v>-0.43103004781676046</v>
      </c>
      <c r="AQ22" s="3">
        <f ca="1">INDIRECT(ADDRESS(22,14))</f>
        <v>5508124.8882999998</v>
      </c>
      <c r="AR22" s="4">
        <f ca="1">IFERROR(INDIRECT(ADDRESS(22,14)) / INDIRECT(ADDRESS(27,14)),0)</f>
        <v>0.10333806175072713</v>
      </c>
      <c r="AS22" s="4">
        <f ca="1">IFERROR((INDIRECT(ADDRESS(22,14)) - INDIRECT(ADDRESS(22,3)))/ INDIRECT(ADDRESS(22,3)),1)</f>
        <v>-0.70994827858305554</v>
      </c>
      <c r="AT22" s="3">
        <f ca="1">INDIRECT(ADDRESS(22,19))</f>
        <v>4842865.6818000004</v>
      </c>
      <c r="AU22" s="4">
        <f ca="1">IFERROR(INDIRECT(ADDRESS(22,19)) / INDIRECT(ADDRESS(27,19)),0)</f>
        <v>0.13172171621026021</v>
      </c>
      <c r="AV22" s="4">
        <f ca="1">IFERROR((INDIRECT(ADDRESS(22,19)) - INDIRECT(ADDRESS(22,3)))/ INDIRECT(ADDRESS(22,3)),1)</f>
        <v>-0.74498008740127375</v>
      </c>
      <c r="AW22" s="3">
        <f ca="1">INDIRECT(ADDRESS(22,24))</f>
        <v>4384938.6335000005</v>
      </c>
      <c r="AX22" s="4">
        <f ca="1">IFERROR(INDIRECT(ADDRESS(22,24)) / INDIRECT(ADDRESS(27,24)),0)</f>
        <v>0.15635132035778074</v>
      </c>
      <c r="AY22" s="4">
        <f ca="1">IFERROR((INDIRECT(ADDRESS(22,24)) - INDIRECT(ADDRESS(22,3)))/ INDIRECT(ADDRESS(22,3)),1)</f>
        <v>-0.76909401570470204</v>
      </c>
      <c r="AZ22" s="3">
        <f ca="1">INDIRECT(ADDRESS(22,29))</f>
        <v>2951138.5942000002</v>
      </c>
      <c r="BA22" s="4">
        <f ca="1">IFERROR(INDIRECT(ADDRESS(22,29)) / INDIRECT(ADDRESS(27,29)),0)</f>
        <v>0.12924167988272206</v>
      </c>
      <c r="BB22" s="4">
        <f ca="1">IFERROR((INDIRECT(ADDRESS(22,29)) - INDIRECT(ADDRESS(22,3)))/ INDIRECT(ADDRESS(22,3)),1)</f>
        <v>-0.84459632874230672</v>
      </c>
      <c r="BC22" s="3">
        <f ca="1">INDIRECT(ADDRESS(22,34))</f>
        <v>2775663.9537376999</v>
      </c>
      <c r="BD22" s="4">
        <f ca="1">IFERROR(INDIRECT(ADDRESS(22,34)) / INDIRECT(ADDRESS(27,34)),0)</f>
        <v>0.13403380087389813</v>
      </c>
      <c r="BE22" s="4">
        <f ca="1">IFERROR((INDIRECT(ADDRESS(22,34)) - INDIRECT(ADDRESS(22,3)))/ INDIRECT(ADDRESS(22,3)),1)</f>
        <v>-0.8538366278573869</v>
      </c>
    </row>
    <row r="23" spans="1:57" x14ac:dyDescent="0.25">
      <c r="A23" s="5"/>
      <c r="B23" s="1" t="s">
        <v>25</v>
      </c>
      <c r="C23">
        <v>221100.7</v>
      </c>
      <c r="D23">
        <v>221117.6</v>
      </c>
      <c r="E23">
        <v>221611.4</v>
      </c>
      <c r="F23">
        <v>221939.6</v>
      </c>
      <c r="G23">
        <v>220510</v>
      </c>
      <c r="H23">
        <v>215403.2</v>
      </c>
      <c r="I23">
        <v>210438.1</v>
      </c>
      <c r="J23">
        <v>204526</v>
      </c>
      <c r="K23">
        <v>198559.1</v>
      </c>
      <c r="L23">
        <v>192475.2</v>
      </c>
      <c r="M23">
        <v>185073.7</v>
      </c>
      <c r="N23">
        <v>130011.2</v>
      </c>
      <c r="O23">
        <v>121885.4</v>
      </c>
      <c r="P23">
        <v>114077</v>
      </c>
      <c r="Q23">
        <v>106754.8</v>
      </c>
      <c r="R23">
        <v>99743.6</v>
      </c>
      <c r="S23">
        <v>94352.27</v>
      </c>
      <c r="T23">
        <v>90164.82</v>
      </c>
      <c r="U23">
        <v>86362.35</v>
      </c>
      <c r="V23">
        <v>82894.98</v>
      </c>
      <c r="W23">
        <v>79528.56</v>
      </c>
      <c r="X23">
        <v>76840.66</v>
      </c>
      <c r="Y23">
        <v>75202.179999999993</v>
      </c>
      <c r="Z23">
        <v>73725.25</v>
      </c>
      <c r="AA23">
        <v>72364.45</v>
      </c>
      <c r="AB23">
        <v>71025.98</v>
      </c>
      <c r="AC23">
        <v>58097.120000000003</v>
      </c>
      <c r="AD23">
        <v>57131.9</v>
      </c>
      <c r="AE23">
        <v>56204.66</v>
      </c>
      <c r="AF23">
        <v>55303.54</v>
      </c>
      <c r="AG23">
        <v>54246.71</v>
      </c>
      <c r="AH23">
        <v>53563.99</v>
      </c>
      <c r="AK23" s="3" t="str">
        <f ca="1">INDIRECT(ADDRESS(23,2))</f>
        <v>Fugitive</v>
      </c>
      <c r="AL23" s="3">
        <f ca="1">INDIRECT(ADDRESS(23,3))</f>
        <v>221100.7</v>
      </c>
      <c r="AM23" s="4">
        <f ca="1">IFERROR(INDIRECT(ADDRESS(23,3)) / INDIRECT(ADDRESS(27,3)),0)</f>
        <v>2.0835088906242141E-3</v>
      </c>
      <c r="AN23" s="3">
        <f ca="1">INDIRECT(ADDRESS(23,9))</f>
        <v>210438.1</v>
      </c>
      <c r="AO23" s="4">
        <f ca="1">IFERROR(INDIRECT(ADDRESS(23,9)) / INDIRECT(ADDRESS(27,9)),0)</f>
        <v>2.7053144882954227E-3</v>
      </c>
      <c r="AP23" s="4">
        <f ca="1">IFERROR((INDIRECT(ADDRESS(23,9)) - INDIRECT(ADDRESS(23,3)))/ INDIRECT(ADDRESS(23,3)),1)</f>
        <v>-4.8225084769066791E-2</v>
      </c>
      <c r="AQ23" s="3">
        <f ca="1">INDIRECT(ADDRESS(23,14))</f>
        <v>130011.2</v>
      </c>
      <c r="AR23" s="4">
        <f ca="1">IFERROR(INDIRECT(ADDRESS(23,14)) / INDIRECT(ADDRESS(27,14)),0)</f>
        <v>2.4391432086850661E-3</v>
      </c>
      <c r="AS23" s="4">
        <f ca="1">IFERROR((INDIRECT(ADDRESS(23,14)) - INDIRECT(ADDRESS(23,3)))/ INDIRECT(ADDRESS(23,3)),1)</f>
        <v>-0.41198196116068386</v>
      </c>
      <c r="AT23" s="3">
        <f ca="1">INDIRECT(ADDRESS(23,19))</f>
        <v>94352.27</v>
      </c>
      <c r="AU23" s="4">
        <f ca="1">IFERROR(INDIRECT(ADDRESS(23,19)) / INDIRECT(ADDRESS(27,19)),0)</f>
        <v>2.5662993255089642E-3</v>
      </c>
      <c r="AV23" s="4">
        <f ca="1">IFERROR((INDIRECT(ADDRESS(23,19)) - INDIRECT(ADDRESS(23,3)))/ INDIRECT(ADDRESS(23,3)),1)</f>
        <v>-0.57326109777128698</v>
      </c>
      <c r="AW23" s="3">
        <f ca="1">INDIRECT(ADDRESS(23,24))</f>
        <v>76840.66</v>
      </c>
      <c r="AX23" s="4">
        <f ca="1">IFERROR(INDIRECT(ADDRESS(23,24)) / INDIRECT(ADDRESS(27,24)),0)</f>
        <v>2.7398647170060347E-3</v>
      </c>
      <c r="AY23" s="4">
        <f ca="1">IFERROR((INDIRECT(ADDRESS(23,24)) - INDIRECT(ADDRESS(23,3)))/ INDIRECT(ADDRESS(23,3)),1)</f>
        <v>-0.65246306321056424</v>
      </c>
      <c r="AZ23" s="3">
        <f ca="1">INDIRECT(ADDRESS(23,29))</f>
        <v>58097.120000000003</v>
      </c>
      <c r="BA23" s="4">
        <f ca="1">IFERROR(INDIRECT(ADDRESS(23,29)) / INDIRECT(ADDRESS(27,29)),0)</f>
        <v>2.54429575076718E-3</v>
      </c>
      <c r="BB23" s="4">
        <f ca="1">IFERROR((INDIRECT(ADDRESS(23,29)) - INDIRECT(ADDRESS(23,3)))/ INDIRECT(ADDRESS(23,3)),1)</f>
        <v>-0.73723683371423065</v>
      </c>
      <c r="BC23" s="3">
        <f ca="1">INDIRECT(ADDRESS(23,34))</f>
        <v>53563.99</v>
      </c>
      <c r="BD23" s="4">
        <f ca="1">IFERROR(INDIRECT(ADDRESS(23,34)) / INDIRECT(ADDRESS(27,34)),0)</f>
        <v>2.5865469629361058E-3</v>
      </c>
      <c r="BE23" s="4">
        <f ca="1">IFERROR((INDIRECT(ADDRESS(23,34)) - INDIRECT(ADDRESS(23,3)))/ INDIRECT(ADDRESS(23,3)),1)</f>
        <v>-0.75773939205077145</v>
      </c>
    </row>
    <row r="24" spans="1:57" x14ac:dyDescent="0.25">
      <c r="A24" s="5"/>
      <c r="B24" s="1" t="s">
        <v>26</v>
      </c>
      <c r="C24">
        <v>20476927.013766222</v>
      </c>
      <c r="D24">
        <v>20463532.243875049</v>
      </c>
      <c r="E24">
        <v>20465960.90357998</v>
      </c>
      <c r="F24">
        <v>20659887.133291531</v>
      </c>
      <c r="G24">
        <v>20541910.301589999</v>
      </c>
      <c r="H24">
        <v>20428826.261750001</v>
      </c>
      <c r="I24">
        <v>18501913.342900001</v>
      </c>
      <c r="J24">
        <v>17975813.562899999</v>
      </c>
      <c r="K24">
        <v>17443070.122400001</v>
      </c>
      <c r="L24">
        <v>16900999.4505</v>
      </c>
      <c r="M24">
        <v>16338964.3792</v>
      </c>
      <c r="N24">
        <v>15783305.141000001</v>
      </c>
      <c r="O24">
        <v>15076534.491</v>
      </c>
      <c r="P24">
        <v>14369522.452</v>
      </c>
      <c r="Q24">
        <v>13661580.662</v>
      </c>
      <c r="R24">
        <v>12946731.710000001</v>
      </c>
      <c r="S24">
        <v>12256842.055</v>
      </c>
      <c r="T24">
        <v>11839524.380999999</v>
      </c>
      <c r="U24">
        <v>11427186.988</v>
      </c>
      <c r="V24">
        <v>11019582.347999999</v>
      </c>
      <c r="W24">
        <v>10608024.975</v>
      </c>
      <c r="X24">
        <v>10220837.619999999</v>
      </c>
      <c r="Y24">
        <v>9963754.3680000007</v>
      </c>
      <c r="Z24">
        <v>9717332.1439999994</v>
      </c>
      <c r="AA24">
        <v>9479374.091</v>
      </c>
      <c r="AB24">
        <v>9244991.6150000002</v>
      </c>
      <c r="AC24">
        <v>9039194.5539999995</v>
      </c>
      <c r="AD24">
        <v>8863842.2809999995</v>
      </c>
      <c r="AE24">
        <v>8694943.0439999998</v>
      </c>
      <c r="AF24">
        <v>8538551.1181462798</v>
      </c>
      <c r="AG24">
        <v>8403554.6259589996</v>
      </c>
      <c r="AH24">
        <v>8271176.23282756</v>
      </c>
      <c r="AK24" s="3" t="str">
        <f ca="1">INDIRECT(ADDRESS(24,2))</f>
        <v>Industrial</v>
      </c>
      <c r="AL24" s="3">
        <f ca="1">INDIRECT(ADDRESS(24,3))</f>
        <v>20476927.013766222</v>
      </c>
      <c r="AM24" s="4">
        <f ca="1">IFERROR(INDIRECT(ADDRESS(24,3)) / INDIRECT(ADDRESS(27,3)),0)</f>
        <v>0.19296121398912378</v>
      </c>
      <c r="AN24" s="3">
        <f ca="1">INDIRECT(ADDRESS(24,9))</f>
        <v>18501913.342900001</v>
      </c>
      <c r="AO24" s="4">
        <f ca="1">IFERROR(INDIRECT(ADDRESS(24,9)) / INDIRECT(ADDRESS(27,9)),0)</f>
        <v>0.23785376425530244</v>
      </c>
      <c r="AP24" s="4">
        <f ca="1">IFERROR((INDIRECT(ADDRESS(24,9)) - INDIRECT(ADDRESS(24,3)))/ INDIRECT(ADDRESS(24,3)),1)</f>
        <v>-9.6450686645435602E-2</v>
      </c>
      <c r="AQ24" s="3">
        <f ca="1">INDIRECT(ADDRESS(24,14))</f>
        <v>15783305.141000001</v>
      </c>
      <c r="AR24" s="4">
        <f ca="1">IFERROR(INDIRECT(ADDRESS(24,14)) / INDIRECT(ADDRESS(27,14)),0)</f>
        <v>0.29611096232689371</v>
      </c>
      <c r="AS24" s="4">
        <f ca="1">IFERROR((INDIRECT(ADDRESS(24,14)) - INDIRECT(ADDRESS(24,3)))/ INDIRECT(ADDRESS(24,3)),1)</f>
        <v>-0.229215148816558</v>
      </c>
      <c r="AT24" s="3">
        <f ca="1">INDIRECT(ADDRESS(24,19))</f>
        <v>12256842.055</v>
      </c>
      <c r="AU24" s="4">
        <f ca="1">IFERROR(INDIRECT(ADDRESS(24,19)) / INDIRECT(ADDRESS(27,19)),0)</f>
        <v>0.33337539731281934</v>
      </c>
      <c r="AV24" s="4">
        <f ca="1">IFERROR((INDIRECT(ADDRESS(24,19)) - INDIRECT(ADDRESS(24,3)))/ INDIRECT(ADDRESS(24,3)),1)</f>
        <v>-0.40143156994406565</v>
      </c>
      <c r="AW24" s="3">
        <f ca="1">INDIRECT(ADDRESS(24,24))</f>
        <v>10220837.619999999</v>
      </c>
      <c r="AX24" s="4">
        <f ca="1">IFERROR(INDIRECT(ADDRESS(24,24)) / INDIRECT(ADDRESS(27,24)),0)</f>
        <v>0.36443872779445063</v>
      </c>
      <c r="AY24" s="4">
        <f ca="1">IFERROR((INDIRECT(ADDRESS(24,24)) - INDIRECT(ADDRESS(24,3)))/ INDIRECT(ADDRESS(24,3)),1)</f>
        <v>-0.5008607681646402</v>
      </c>
      <c r="AZ24" s="3">
        <f ca="1">INDIRECT(ADDRESS(24,29))</f>
        <v>9039194.5539999995</v>
      </c>
      <c r="BA24" s="4">
        <f ca="1">IFERROR(INDIRECT(ADDRESS(24,29)) / INDIRECT(ADDRESS(27,29)),0)</f>
        <v>0.39586100471245445</v>
      </c>
      <c r="BB24" s="4">
        <f ca="1">IFERROR((INDIRECT(ADDRESS(24,29)) - INDIRECT(ADDRESS(24,3)))/ INDIRECT(ADDRESS(24,3)),1)</f>
        <v>-0.55856684218666541</v>
      </c>
      <c r="BC24" s="3">
        <f ca="1">INDIRECT(ADDRESS(24,34))</f>
        <v>8271176.23282756</v>
      </c>
      <c r="BD24" s="4">
        <f ca="1">IFERROR(INDIRECT(ADDRESS(24,34)) / INDIRECT(ADDRESS(27,34)),0)</f>
        <v>0.39940612648403201</v>
      </c>
      <c r="BE24" s="4">
        <f ca="1">IFERROR((INDIRECT(ADDRESS(24,34)) - INDIRECT(ADDRESS(24,3)))/ INDIRECT(ADDRESS(24,3)),1)</f>
        <v>-0.59607336455968152</v>
      </c>
    </row>
    <row r="25" spans="1:57" x14ac:dyDescent="0.25">
      <c r="A25" s="5"/>
      <c r="B25" s="1" t="s">
        <v>27</v>
      </c>
      <c r="C25">
        <v>9744535.1999999993</v>
      </c>
      <c r="D25">
        <v>9711503.4000000004</v>
      </c>
      <c r="E25">
        <v>9646647.1999999993</v>
      </c>
      <c r="F25">
        <v>9616108.1999999993</v>
      </c>
      <c r="G25">
        <v>9436121.7708199993</v>
      </c>
      <c r="H25">
        <v>9115503.6867200006</v>
      </c>
      <c r="I25">
        <v>6010844.6080999998</v>
      </c>
      <c r="J25">
        <v>5520953.1585999997</v>
      </c>
      <c r="K25">
        <v>5007831.1814999999</v>
      </c>
      <c r="L25">
        <v>4464442.3110999996</v>
      </c>
      <c r="M25">
        <v>3880782.4994999999</v>
      </c>
      <c r="N25">
        <v>3283636.2971000001</v>
      </c>
      <c r="O25">
        <v>2746014.0597000001</v>
      </c>
      <c r="P25">
        <v>2235561.2371</v>
      </c>
      <c r="Q25">
        <v>1775076.845</v>
      </c>
      <c r="R25">
        <v>1375170.0989000001</v>
      </c>
      <c r="S25">
        <v>1052167.8668</v>
      </c>
      <c r="T25">
        <v>833980.61239999998</v>
      </c>
      <c r="U25">
        <v>659179.1152</v>
      </c>
      <c r="V25">
        <v>520863.61930000002</v>
      </c>
      <c r="W25">
        <v>410965.71380000003</v>
      </c>
      <c r="X25">
        <v>326234.95850000001</v>
      </c>
      <c r="Y25">
        <v>283537.41800000001</v>
      </c>
      <c r="Z25">
        <v>248927.04800000001</v>
      </c>
      <c r="AA25">
        <v>218494.06080000001</v>
      </c>
      <c r="AB25">
        <v>190334.8144</v>
      </c>
      <c r="AC25">
        <v>166175.2224</v>
      </c>
      <c r="AD25">
        <v>160061.69930000001</v>
      </c>
      <c r="AE25">
        <v>154643.9761</v>
      </c>
      <c r="AF25">
        <v>150562.27368261901</v>
      </c>
      <c r="AG25">
        <v>149367.03632569799</v>
      </c>
      <c r="AH25">
        <v>148154.050469312</v>
      </c>
      <c r="AK25" s="3" t="str">
        <f ca="1">INDIRECT(ADDRESS(25,2))</f>
        <v>Residential</v>
      </c>
      <c r="AL25" s="3">
        <f ca="1">INDIRECT(ADDRESS(25,3))</f>
        <v>9744535.1999999993</v>
      </c>
      <c r="AM25" s="4">
        <f ca="1">IFERROR(INDIRECT(ADDRESS(25,3)) / INDIRECT(ADDRESS(27,3)),0)</f>
        <v>9.1826148556746326E-2</v>
      </c>
      <c r="AN25" s="3">
        <f ca="1">INDIRECT(ADDRESS(25,9))</f>
        <v>6010844.6080999998</v>
      </c>
      <c r="AO25" s="4">
        <f ca="1">IFERROR(INDIRECT(ADDRESS(25,9)) / INDIRECT(ADDRESS(27,9)),0)</f>
        <v>7.7273198176496319E-2</v>
      </c>
      <c r="AP25" s="4">
        <f ca="1">IFERROR((INDIRECT(ADDRESS(25,9)) - INDIRECT(ADDRESS(25,3)))/ INDIRECT(ADDRESS(25,3)),1)</f>
        <v>-0.38315738157526485</v>
      </c>
      <c r="AQ25" s="3">
        <f ca="1">INDIRECT(ADDRESS(25,14))</f>
        <v>3283636.2971000001</v>
      </c>
      <c r="AR25" s="4">
        <f ca="1">IFERROR(INDIRECT(ADDRESS(25,14)) / INDIRECT(ADDRESS(27,14)),0)</f>
        <v>6.1604378498646611E-2</v>
      </c>
      <c r="AS25" s="4">
        <f ca="1">IFERROR((INDIRECT(ADDRESS(25,14)) - INDIRECT(ADDRESS(25,3)))/ INDIRECT(ADDRESS(25,3)),1)</f>
        <v>-0.66302791978215647</v>
      </c>
      <c r="AT25" s="3">
        <f ca="1">INDIRECT(ADDRESS(25,19))</f>
        <v>1052167.8668</v>
      </c>
      <c r="AU25" s="4">
        <f ca="1">IFERROR(INDIRECT(ADDRESS(25,19)) / INDIRECT(ADDRESS(27,19)),0)</f>
        <v>2.8618046888443122E-2</v>
      </c>
      <c r="AV25" s="4">
        <f ca="1">IFERROR((INDIRECT(ADDRESS(25,19)) - INDIRECT(ADDRESS(25,3)))/ INDIRECT(ADDRESS(25,3)),1)</f>
        <v>-0.89202482774139924</v>
      </c>
      <c r="AW25" s="3">
        <f ca="1">INDIRECT(ADDRESS(25,24))</f>
        <v>326234.95850000001</v>
      </c>
      <c r="AX25" s="4">
        <f ca="1">IFERROR(INDIRECT(ADDRESS(25,24)) / INDIRECT(ADDRESS(27,24)),0)</f>
        <v>1.163237864235E-2</v>
      </c>
      <c r="AY25" s="4">
        <f ca="1">IFERROR((INDIRECT(ADDRESS(25,24)) - INDIRECT(ADDRESS(25,3)))/ INDIRECT(ADDRESS(25,3)),1)</f>
        <v>-0.96652123966877357</v>
      </c>
      <c r="AZ25" s="3">
        <f ca="1">INDIRECT(ADDRESS(25,29))</f>
        <v>166175.2224</v>
      </c>
      <c r="BA25" s="4">
        <f ca="1">IFERROR(INDIRECT(ADDRESS(25,29)) / INDIRECT(ADDRESS(27,29)),0)</f>
        <v>7.2774504525372529E-3</v>
      </c>
      <c r="BB25" s="4">
        <f ca="1">IFERROR((INDIRECT(ADDRESS(25,29)) - INDIRECT(ADDRESS(25,3)))/ INDIRECT(ADDRESS(25,3)),1)</f>
        <v>-0.98294682927514077</v>
      </c>
      <c r="BC25" s="3">
        <f ca="1">INDIRECT(ADDRESS(25,34))</f>
        <v>148154.050469312</v>
      </c>
      <c r="BD25" s="4">
        <f ca="1">IFERROR(INDIRECT(ADDRESS(25,34)) / INDIRECT(ADDRESS(27,34)),0)</f>
        <v>7.1541983576668107E-3</v>
      </c>
      <c r="BE25" s="4">
        <f ca="1">IFERROR((INDIRECT(ADDRESS(25,34)) - INDIRECT(ADDRESS(25,3)))/ INDIRECT(ADDRESS(25,3)),1)</f>
        <v>-0.98479619115447259</v>
      </c>
    </row>
    <row r="26" spans="1:57" x14ac:dyDescent="0.25">
      <c r="A26" s="5"/>
      <c r="B26" s="1" t="s">
        <v>28</v>
      </c>
      <c r="C26">
        <v>48408352.039399996</v>
      </c>
      <c r="D26">
        <v>47690165.509000003</v>
      </c>
      <c r="E26">
        <v>45978190.886799999</v>
      </c>
      <c r="F26">
        <v>44088049.831</v>
      </c>
      <c r="G26">
        <v>42288906.645999998</v>
      </c>
      <c r="H26">
        <v>40120241.347000003</v>
      </c>
      <c r="I26">
        <v>37103250.868000001</v>
      </c>
      <c r="J26">
        <v>34747658.781999998</v>
      </c>
      <c r="K26">
        <v>32321497.420000002</v>
      </c>
      <c r="L26">
        <v>29877579.756000001</v>
      </c>
      <c r="M26">
        <v>27517009.567000002</v>
      </c>
      <c r="N26">
        <v>25387345.401999999</v>
      </c>
      <c r="O26">
        <v>23502321.829999998</v>
      </c>
      <c r="P26">
        <v>21798451.960000001</v>
      </c>
      <c r="Q26">
        <v>20200194.136</v>
      </c>
      <c r="R26">
        <v>18516631.546</v>
      </c>
      <c r="S26">
        <v>17022982.085999999</v>
      </c>
      <c r="T26">
        <v>15980575.995999999</v>
      </c>
      <c r="U26">
        <v>14946477.236</v>
      </c>
      <c r="V26">
        <v>13954198.386</v>
      </c>
      <c r="W26">
        <v>13197954.495999999</v>
      </c>
      <c r="X26">
        <v>12497394.976</v>
      </c>
      <c r="Y26">
        <v>11978389.636</v>
      </c>
      <c r="Z26">
        <v>11494855.135</v>
      </c>
      <c r="AA26">
        <v>11057429.006999999</v>
      </c>
      <c r="AB26">
        <v>10668632.698000001</v>
      </c>
      <c r="AC26">
        <v>10324727.795</v>
      </c>
      <c r="AD26">
        <v>10040319.456</v>
      </c>
      <c r="AE26">
        <v>9793774.868999999</v>
      </c>
      <c r="AF26">
        <v>9579292.5940000005</v>
      </c>
      <c r="AG26">
        <v>9389964.8099999987</v>
      </c>
      <c r="AH26">
        <v>9217614.5539999995</v>
      </c>
      <c r="AK26" s="3" t="str">
        <f ca="1">INDIRECT(ADDRESS(26,2))</f>
        <v>Transportation</v>
      </c>
      <c r="AL26" s="3">
        <f ca="1">INDIRECT(ADDRESS(26,3))</f>
        <v>48408352.039399996</v>
      </c>
      <c r="AM26" s="4">
        <f ca="1">IFERROR(INDIRECT(ADDRESS(26,3)) / INDIRECT(ADDRESS(27,3)),0)</f>
        <v>0.456168758645073</v>
      </c>
      <c r="AN26" s="3">
        <f ca="1">INDIRECT(ADDRESS(26,9))</f>
        <v>37103250.868000001</v>
      </c>
      <c r="AO26" s="4">
        <f ca="1">IFERROR(INDIRECT(ADDRESS(26,9)) / INDIRECT(ADDRESS(27,9)),0)</f>
        <v>0.47698568907465005</v>
      </c>
      <c r="AP26" s="4">
        <f ca="1">IFERROR((INDIRECT(ADDRESS(26,9)) - INDIRECT(ADDRESS(26,3)))/ INDIRECT(ADDRESS(26,3)),1)</f>
        <v>-0.23353617082851058</v>
      </c>
      <c r="AQ26" s="3">
        <f ca="1">INDIRECT(ADDRESS(26,14))</f>
        <v>25387345.401999999</v>
      </c>
      <c r="AR26" s="4">
        <f ca="1">IFERROR(INDIRECT(ADDRESS(26,14)) / INDIRECT(ADDRESS(27,14)),0)</f>
        <v>0.47629258959097637</v>
      </c>
      <c r="AS26" s="4">
        <f ca="1">IFERROR((INDIRECT(ADDRESS(26,14)) - INDIRECT(ADDRESS(26,3)))/ INDIRECT(ADDRESS(26,3)),1)</f>
        <v>-0.47555856928703111</v>
      </c>
      <c r="AT26" s="3">
        <f ca="1">INDIRECT(ADDRESS(26,19))</f>
        <v>17022982.085999999</v>
      </c>
      <c r="AU26" s="4">
        <f ca="1">IFERROR(INDIRECT(ADDRESS(26,19)) / INDIRECT(ADDRESS(27,19)),0)</f>
        <v>0.46301024284262554</v>
      </c>
      <c r="AV26" s="4">
        <f ca="1">IFERROR((INDIRECT(ADDRESS(26,19)) - INDIRECT(ADDRESS(26,3)))/ INDIRECT(ADDRESS(26,3)),1)</f>
        <v>-0.64834617645845827</v>
      </c>
      <c r="AW26" s="3">
        <f ca="1">INDIRECT(ADDRESS(26,24))</f>
        <v>12497394.976</v>
      </c>
      <c r="AX26" s="4">
        <f ca="1">IFERROR(INDIRECT(ADDRESS(26,24)) / INDIRECT(ADDRESS(27,24)),0)</f>
        <v>0.44561266846524844</v>
      </c>
      <c r="AY26" s="4">
        <f ca="1">IFERROR((INDIRECT(ADDRESS(26,24)) - INDIRECT(ADDRESS(26,3)))/ INDIRECT(ADDRESS(26,3)),1)</f>
        <v>-0.74183390986273912</v>
      </c>
      <c r="AZ26" s="3">
        <f ca="1">INDIRECT(ADDRESS(26,29))</f>
        <v>10324727.795</v>
      </c>
      <c r="BA26" s="4">
        <f ca="1">IFERROR(INDIRECT(ADDRESS(26,29)) / INDIRECT(ADDRESS(27,29)),0)</f>
        <v>0.45215943676117326</v>
      </c>
      <c r="BB26" s="4">
        <f ca="1">IFERROR((INDIRECT(ADDRESS(26,29)) - INDIRECT(ADDRESS(26,3)))/ INDIRECT(ADDRESS(26,3)),1)</f>
        <v>-0.786715982675952</v>
      </c>
      <c r="BC26" s="3">
        <f ca="1">INDIRECT(ADDRESS(26,34))</f>
        <v>9217614.5539999995</v>
      </c>
      <c r="BD26" s="4">
        <f ca="1">IFERROR(INDIRECT(ADDRESS(26,34)) / INDIRECT(ADDRESS(27,34)),0)</f>
        <v>0.44510860617673076</v>
      </c>
      <c r="BE26" s="4">
        <f ca="1">IFERROR((INDIRECT(ADDRESS(26,34)) - INDIRECT(ADDRESS(26,3)))/ INDIRECT(ADDRESS(26,3)),1)</f>
        <v>-0.80958627663057614</v>
      </c>
    </row>
    <row r="27" spans="1:57" x14ac:dyDescent="0.25">
      <c r="A27" s="1" t="s">
        <v>21</v>
      </c>
      <c r="B27" s="1"/>
      <c r="C27">
        <v>106119393.58404119</v>
      </c>
      <c r="D27">
        <v>105312188.9726411</v>
      </c>
      <c r="E27">
        <v>103585732.330541</v>
      </c>
      <c r="F27">
        <v>101944430.1329415</v>
      </c>
      <c r="G27">
        <v>99861371.168449998</v>
      </c>
      <c r="H27">
        <v>96922045.159550011</v>
      </c>
      <c r="I27">
        <v>77786926.773379996</v>
      </c>
      <c r="J27">
        <v>73944046.943209991</v>
      </c>
      <c r="K27">
        <v>69994857.947799996</v>
      </c>
      <c r="L27">
        <v>65982842.726100013</v>
      </c>
      <c r="M27">
        <v>61881991.675700009</v>
      </c>
      <c r="N27">
        <v>53301995.363399997</v>
      </c>
      <c r="O27">
        <v>49683052.007099994</v>
      </c>
      <c r="P27">
        <v>46272368.181899987</v>
      </c>
      <c r="Q27">
        <v>43015895.8314</v>
      </c>
      <c r="R27">
        <v>39705202.243400007</v>
      </c>
      <c r="S27">
        <v>36765886.6065</v>
      </c>
      <c r="T27">
        <v>34790834.714299999</v>
      </c>
      <c r="U27">
        <v>32875882.145399999</v>
      </c>
      <c r="V27">
        <v>31048402.87470001</v>
      </c>
      <c r="W27">
        <v>29475909.522699989</v>
      </c>
      <c r="X27">
        <v>28045421.192899998</v>
      </c>
      <c r="Y27">
        <v>27113402.476300001</v>
      </c>
      <c r="Z27">
        <v>26242263.540800001</v>
      </c>
      <c r="AA27">
        <v>25435417.9476</v>
      </c>
      <c r="AB27">
        <v>24683659.076699998</v>
      </c>
      <c r="AC27">
        <v>22834263.659200002</v>
      </c>
      <c r="AD27">
        <v>22307173.222399998</v>
      </c>
      <c r="AE27">
        <v>21827323.315499999</v>
      </c>
      <c r="AF27">
        <v>21402087.531255901</v>
      </c>
      <c r="AG27">
        <v>21044590.1909732</v>
      </c>
      <c r="AH27">
        <v>20708686.433126699</v>
      </c>
    </row>
    <row r="28" spans="1:57" x14ac:dyDescent="0.25">
      <c r="A28" s="5" t="s">
        <v>6</v>
      </c>
      <c r="B28" s="1" t="s">
        <v>22</v>
      </c>
      <c r="C28">
        <v>378717.85989999998</v>
      </c>
      <c r="D28">
        <v>378717.85989999998</v>
      </c>
      <c r="E28">
        <v>378717.85989999998</v>
      </c>
      <c r="F28">
        <v>378717.85989999998</v>
      </c>
      <c r="G28">
        <v>376081.97399999999</v>
      </c>
      <c r="H28">
        <v>368094.02620000002</v>
      </c>
      <c r="I28">
        <v>360065.32740000001</v>
      </c>
      <c r="J28">
        <v>347442.85230000003</v>
      </c>
      <c r="K28">
        <v>334294.80910000001</v>
      </c>
      <c r="L28">
        <v>320493.85090000002</v>
      </c>
      <c r="M28">
        <v>305072.74099999998</v>
      </c>
      <c r="N28">
        <v>288508.90490000002</v>
      </c>
      <c r="O28">
        <v>265316.9387</v>
      </c>
      <c r="P28">
        <v>238757.5215</v>
      </c>
      <c r="Q28">
        <v>208185.42910000001</v>
      </c>
      <c r="R28">
        <v>172336.18220000001</v>
      </c>
      <c r="S28">
        <v>133811.4522</v>
      </c>
      <c r="T28">
        <v>111165.9814</v>
      </c>
      <c r="U28">
        <v>86560.756999999998</v>
      </c>
      <c r="V28">
        <v>60120.818700000003</v>
      </c>
      <c r="W28">
        <v>31022.756600000001</v>
      </c>
      <c r="X28">
        <v>2354.6084999999998</v>
      </c>
      <c r="Y28">
        <v>498.15882667400001</v>
      </c>
      <c r="Z28">
        <v>498.15882667400001</v>
      </c>
      <c r="AA28">
        <v>498.15882667400001</v>
      </c>
      <c r="AB28">
        <v>498.15882667400001</v>
      </c>
      <c r="AC28">
        <v>498.15882667400001</v>
      </c>
      <c r="AD28">
        <v>498.15882667400001</v>
      </c>
      <c r="AE28">
        <v>498.15882667400001</v>
      </c>
      <c r="AF28">
        <v>498.15882667400001</v>
      </c>
      <c r="AG28">
        <v>498.15882667400001</v>
      </c>
      <c r="AH28">
        <v>498.15882667400001</v>
      </c>
      <c r="AK28" s="3" t="str">
        <f ca="1">INDIRECT(ADDRESS(28,2))</f>
        <v>Agriculture</v>
      </c>
      <c r="AL28" s="3">
        <f ca="1">INDIRECT(ADDRESS(28,3))</f>
        <v>378717.85989999998</v>
      </c>
      <c r="AM28" s="4">
        <f ca="1">IFERROR(INDIRECT(ADDRESS(28,3)) / INDIRECT(ADDRESS(35,3)),0)</f>
        <v>3.5687902758328015E-3</v>
      </c>
      <c r="AN28" s="3">
        <f ca="1">INDIRECT(ADDRESS(28,9))</f>
        <v>360065.32740000001</v>
      </c>
      <c r="AO28" s="4">
        <f ca="1">IFERROR(INDIRECT(ADDRESS(28,9)) / INDIRECT(ADDRESS(35,9)),0)</f>
        <v>4.6669612167758575E-3</v>
      </c>
      <c r="AP28" s="4">
        <f ca="1">IFERROR((INDIRECT(ADDRESS(28,9)) - INDIRECT(ADDRESS(28,3)))/ INDIRECT(ADDRESS(28,3)),1)</f>
        <v>-4.925178998668072E-2</v>
      </c>
      <c r="AQ28" s="3">
        <f ca="1">INDIRECT(ADDRESS(28,14))</f>
        <v>288508.90490000002</v>
      </c>
      <c r="AR28" s="4">
        <f ca="1">IFERROR(INDIRECT(ADDRESS(28,14)) / INDIRECT(ADDRESS(35,14)),0)</f>
        <v>5.4862769954293717E-3</v>
      </c>
      <c r="AS28" s="4">
        <f ca="1">IFERROR((INDIRECT(ADDRESS(28,14)) - INDIRECT(ADDRESS(28,3)))/ INDIRECT(ADDRESS(28,3)),1)</f>
        <v>-0.23819567163750749</v>
      </c>
      <c r="AT28" s="3">
        <f ca="1">INDIRECT(ADDRESS(28,19))</f>
        <v>133811.4522</v>
      </c>
      <c r="AU28" s="4">
        <f ca="1">IFERROR(INDIRECT(ADDRESS(28,19)) / INDIRECT(ADDRESS(35,19)),0)</f>
        <v>3.750713306736579E-3</v>
      </c>
      <c r="AV28" s="4">
        <f ca="1">IFERROR((INDIRECT(ADDRESS(28,19)) - INDIRECT(ADDRESS(28,3)))/ INDIRECT(ADDRESS(28,3)),1)</f>
        <v>-0.64667245364310844</v>
      </c>
      <c r="AW28" s="3">
        <f ca="1">INDIRECT(ADDRESS(28,24))</f>
        <v>2354.6084999999998</v>
      </c>
      <c r="AX28" s="4">
        <f ca="1">IFERROR(INDIRECT(ADDRESS(28,24)) / INDIRECT(ADDRESS(35,24)),0)</f>
        <v>8.6863044129618266E-5</v>
      </c>
      <c r="AY28" s="4">
        <f ca="1">IFERROR((INDIRECT(ADDRESS(28,24)) - INDIRECT(ADDRESS(28,3)))/ INDIRECT(ADDRESS(28,3)),1)</f>
        <v>-0.99378268429003669</v>
      </c>
      <c r="AZ28" s="3">
        <f ca="1">INDIRECT(ADDRESS(28,29))</f>
        <v>498.15882667400001</v>
      </c>
      <c r="BA28" s="4">
        <f ca="1">IFERROR(INDIRECT(ADDRESS(28,29)) / INDIRECT(ADDRESS(35,29)),0)</f>
        <v>2.1976901435173997E-5</v>
      </c>
      <c r="BB28" s="4">
        <f ca="1">IFERROR((INDIRECT(ADDRESS(28,29)) - INDIRECT(ADDRESS(28,3)))/ INDIRECT(ADDRESS(28,3)),1)</f>
        <v>-0.99868461754931359</v>
      </c>
      <c r="BC28" s="3">
        <f ca="1">INDIRECT(ADDRESS(28,34))</f>
        <v>498.15882667400001</v>
      </c>
      <c r="BD28" s="4">
        <f ca="1">IFERROR(INDIRECT(ADDRESS(28,34)) / INDIRECT(ADDRESS(35,34)),0)</f>
        <v>2.406528469000892E-5</v>
      </c>
      <c r="BE28" s="4">
        <f ca="1">IFERROR((INDIRECT(ADDRESS(28,34)) - INDIRECT(ADDRESS(28,3)))/ INDIRECT(ADDRESS(28,3)),1)</f>
        <v>-0.99868461754931359</v>
      </c>
    </row>
    <row r="29" spans="1:57" x14ac:dyDescent="0.25">
      <c r="A29" s="5"/>
      <c r="B29" s="1" t="s">
        <v>23</v>
      </c>
      <c r="C29">
        <v>7899613.5607049996</v>
      </c>
      <c r="D29">
        <v>7857007.1495960001</v>
      </c>
      <c r="E29">
        <v>7904487.8838910004</v>
      </c>
      <c r="F29">
        <v>7989641.3261799999</v>
      </c>
      <c r="G29">
        <v>7913705.2911799997</v>
      </c>
      <c r="H29">
        <v>7538220.48221</v>
      </c>
      <c r="I29">
        <v>4548017.9978</v>
      </c>
      <c r="J29">
        <v>4173840.3946000002</v>
      </c>
      <c r="K29">
        <v>3814849.1033999999</v>
      </c>
      <c r="L29">
        <v>3470064.4537999998</v>
      </c>
      <c r="M29">
        <v>2975433.4490999999</v>
      </c>
      <c r="N29">
        <v>2602840.1334000002</v>
      </c>
      <c r="O29">
        <v>2218328.2299000002</v>
      </c>
      <c r="P29">
        <v>1851960.0316000001</v>
      </c>
      <c r="Q29">
        <v>1506049.8145999999</v>
      </c>
      <c r="R29">
        <v>1167301.9885</v>
      </c>
      <c r="S29">
        <v>917570.93420000002</v>
      </c>
      <c r="T29">
        <v>754347.69590000005</v>
      </c>
      <c r="U29">
        <v>605629.75569999998</v>
      </c>
      <c r="V29">
        <v>472846.05420000001</v>
      </c>
      <c r="W29">
        <v>352666.8358</v>
      </c>
      <c r="X29">
        <v>259119.4037</v>
      </c>
      <c r="Y29">
        <v>247352.74378393</v>
      </c>
      <c r="Z29">
        <v>239406.67547273001</v>
      </c>
      <c r="AA29">
        <v>231772.40077782999</v>
      </c>
      <c r="AB29">
        <v>224011.85934798999</v>
      </c>
      <c r="AC29">
        <v>217258.34236461</v>
      </c>
      <c r="AD29">
        <v>215836.91685447001</v>
      </c>
      <c r="AE29">
        <v>214521.67754462999</v>
      </c>
      <c r="AF29">
        <v>213290.43493495</v>
      </c>
      <c r="AG29">
        <v>211455.02256702</v>
      </c>
      <c r="AH29">
        <v>210997.69671732001</v>
      </c>
      <c r="AK29" s="3" t="str">
        <f ca="1">INDIRECT(ADDRESS(29,2))</f>
        <v>Commercial</v>
      </c>
      <c r="AL29" s="3">
        <f ca="1">INDIRECT(ADDRESS(29,3))</f>
        <v>7899613.5607049996</v>
      </c>
      <c r="AM29" s="4">
        <f ca="1">IFERROR(INDIRECT(ADDRESS(29,3)) / INDIRECT(ADDRESS(35,3)),0)</f>
        <v>7.4440809487371459E-2</v>
      </c>
      <c r="AN29" s="3">
        <f ca="1">INDIRECT(ADDRESS(29,9))</f>
        <v>4548017.9978</v>
      </c>
      <c r="AO29" s="4">
        <f ca="1">IFERROR(INDIRECT(ADDRESS(29,9)) / INDIRECT(ADDRESS(35,9)),0)</f>
        <v>5.8948812878479862E-2</v>
      </c>
      <c r="AP29" s="4">
        <f ca="1">IFERROR((INDIRECT(ADDRESS(29,9)) - INDIRECT(ADDRESS(29,3)))/ INDIRECT(ADDRESS(29,3)),1)</f>
        <v>-0.42427335681036621</v>
      </c>
      <c r="AQ29" s="3">
        <f ca="1">INDIRECT(ADDRESS(29,14))</f>
        <v>2602840.1334000002</v>
      </c>
      <c r="AR29" s="4">
        <f ca="1">IFERROR(INDIRECT(ADDRESS(29,14)) / INDIRECT(ADDRESS(35,14)),0)</f>
        <v>4.9495532734430817E-2</v>
      </c>
      <c r="AS29" s="4">
        <f ca="1">IFERROR((INDIRECT(ADDRESS(29,14)) - INDIRECT(ADDRESS(29,3)))/ INDIRECT(ADDRESS(29,3)),1)</f>
        <v>-0.67051044796073422</v>
      </c>
      <c r="AT29" s="3">
        <f ca="1">INDIRECT(ADDRESS(29,19))</f>
        <v>917570.93420000002</v>
      </c>
      <c r="AU29" s="4">
        <f ca="1">IFERROR(INDIRECT(ADDRESS(29,19)) / INDIRECT(ADDRESS(35,19)),0)</f>
        <v>2.5719364495310766E-2</v>
      </c>
      <c r="AV29" s="4">
        <f ca="1">IFERROR((INDIRECT(ADDRESS(29,19)) - INDIRECT(ADDRESS(29,3)))/ INDIRECT(ADDRESS(29,3)),1)</f>
        <v>-0.88384609865420916</v>
      </c>
      <c r="AW29" s="3">
        <f ca="1">INDIRECT(ADDRESS(29,24))</f>
        <v>259119.4037</v>
      </c>
      <c r="AX29" s="4">
        <f ca="1">IFERROR(INDIRECT(ADDRESS(29,24)) / INDIRECT(ADDRESS(35,24)),0)</f>
        <v>9.5590838979955576E-3</v>
      </c>
      <c r="AY29" s="4">
        <f ca="1">IFERROR((INDIRECT(ADDRESS(29,24)) - INDIRECT(ADDRESS(29,3)))/ INDIRECT(ADDRESS(29,3)),1)</f>
        <v>-0.96719847094939737</v>
      </c>
      <c r="AZ29" s="3">
        <f ca="1">INDIRECT(ADDRESS(29,29))</f>
        <v>217258.34236461</v>
      </c>
      <c r="BA29" s="4">
        <f ca="1">IFERROR(INDIRECT(ADDRESS(29,29)) / INDIRECT(ADDRESS(35,29)),0)</f>
        <v>9.5846242612918891E-3</v>
      </c>
      <c r="BB29" s="4">
        <f ca="1">IFERROR((INDIRECT(ADDRESS(29,29)) - INDIRECT(ADDRESS(29,3)))/ INDIRECT(ADDRESS(29,3)),1)</f>
        <v>-0.97249759868693864</v>
      </c>
      <c r="BC29" s="3">
        <f ca="1">INDIRECT(ADDRESS(29,34))</f>
        <v>210997.69671732001</v>
      </c>
      <c r="BD29" s="4">
        <f ca="1">IFERROR(INDIRECT(ADDRESS(29,34)) / INDIRECT(ADDRESS(35,34)),0)</f>
        <v>1.0192973342137276E-2</v>
      </c>
      <c r="BE29" s="4">
        <f ca="1">IFERROR((INDIRECT(ADDRESS(29,34)) - INDIRECT(ADDRESS(29,3)))/ INDIRECT(ADDRESS(29,3)),1)</f>
        <v>-0.97329012424520556</v>
      </c>
    </row>
    <row r="30" spans="1:57" x14ac:dyDescent="0.25">
      <c r="A30" s="5"/>
      <c r="B30" s="1" t="s">
        <v>24</v>
      </c>
      <c r="C30">
        <v>18990147.210269999</v>
      </c>
      <c r="D30">
        <v>18990145.210269999</v>
      </c>
      <c r="E30">
        <v>18990116.196369998</v>
      </c>
      <c r="F30">
        <v>18990086.182569999</v>
      </c>
      <c r="G30">
        <v>18970658.484859999</v>
      </c>
      <c r="H30">
        <v>18934798.46384</v>
      </c>
      <c r="I30">
        <v>10804815.15938</v>
      </c>
      <c r="J30">
        <v>10695502.28744</v>
      </c>
      <c r="K30">
        <v>10587979.6218</v>
      </c>
      <c r="L30">
        <v>10481808.5447</v>
      </c>
      <c r="M30">
        <v>10374178.2962</v>
      </c>
      <c r="N30">
        <v>5505170.4408</v>
      </c>
      <c r="O30">
        <v>5374298.1980999997</v>
      </c>
      <c r="P30">
        <v>5239641.0368999997</v>
      </c>
      <c r="Q30">
        <v>5100021.2289000005</v>
      </c>
      <c r="R30">
        <v>4952846.7546999985</v>
      </c>
      <c r="S30">
        <v>4805337.8058000002</v>
      </c>
      <c r="T30">
        <v>4704659.5587999998</v>
      </c>
      <c r="U30">
        <v>4602376.0959000001</v>
      </c>
      <c r="V30">
        <v>4498899.8502000002</v>
      </c>
      <c r="W30">
        <v>4392441.9072000002</v>
      </c>
      <c r="X30">
        <v>4290162.5933999997</v>
      </c>
      <c r="Y30">
        <v>4250462.6249000002</v>
      </c>
      <c r="Z30">
        <v>4215809.1237000003</v>
      </c>
      <c r="AA30">
        <v>4181980.1105</v>
      </c>
      <c r="AB30">
        <v>4148948.5684000002</v>
      </c>
      <c r="AC30">
        <v>2926348.10136875</v>
      </c>
      <c r="AD30">
        <v>2894825.4520693799</v>
      </c>
      <c r="AE30">
        <v>2864019.2265768098</v>
      </c>
      <c r="AF30">
        <v>2833906.4107908299</v>
      </c>
      <c r="AG30">
        <v>2804460.9908111901</v>
      </c>
      <c r="AH30">
        <v>2775663.9537376999</v>
      </c>
      <c r="AK30" s="3" t="str">
        <f ca="1">INDIRECT(ADDRESS(30,2))</f>
        <v>Energy Production</v>
      </c>
      <c r="AL30" s="3">
        <f ca="1">INDIRECT(ADDRESS(30,3))</f>
        <v>18990147.210269999</v>
      </c>
      <c r="AM30" s="4">
        <f ca="1">IFERROR(INDIRECT(ADDRESS(30,3)) / INDIRECT(ADDRESS(35,3)),0)</f>
        <v>0.17895077015522862</v>
      </c>
      <c r="AN30" s="3">
        <f ca="1">INDIRECT(ADDRESS(30,9))</f>
        <v>10804815.15938</v>
      </c>
      <c r="AO30" s="4">
        <f ca="1">IFERROR(INDIRECT(ADDRESS(30,9)) / INDIRECT(ADDRESS(35,9)),0)</f>
        <v>0.14004584575631737</v>
      </c>
      <c r="AP30" s="4">
        <f ca="1">IFERROR((INDIRECT(ADDRESS(30,9)) - INDIRECT(ADDRESS(30,3)))/ INDIRECT(ADDRESS(30,3)),1)</f>
        <v>-0.43103046860338801</v>
      </c>
      <c r="AQ30" s="3">
        <f ca="1">INDIRECT(ADDRESS(30,14))</f>
        <v>5505170.4408</v>
      </c>
      <c r="AR30" s="4">
        <f ca="1">IFERROR(INDIRECT(ADDRESS(30,14)) / INDIRECT(ADDRESS(35,14)),0)</f>
        <v>0.10468616196005259</v>
      </c>
      <c r="AS30" s="4">
        <f ca="1">IFERROR((INDIRECT(ADDRESS(30,14)) - INDIRECT(ADDRESS(30,3)))/ INDIRECT(ADDRESS(30,3)),1)</f>
        <v>-0.71010385649760699</v>
      </c>
      <c r="AT30" s="3">
        <f ca="1">INDIRECT(ADDRESS(30,19))</f>
        <v>4805337.8058000002</v>
      </c>
      <c r="AU30" s="4">
        <f ca="1">IFERROR(INDIRECT(ADDRESS(30,19)) / INDIRECT(ADDRESS(35,19)),0)</f>
        <v>0.1346928394786408</v>
      </c>
      <c r="AV30" s="4">
        <f ca="1">IFERROR((INDIRECT(ADDRESS(30,19)) - INDIRECT(ADDRESS(30,3)))/ INDIRECT(ADDRESS(30,3)),1)</f>
        <v>-0.74695626355117239</v>
      </c>
      <c r="AW30" s="3">
        <f ca="1">INDIRECT(ADDRESS(30,24))</f>
        <v>4290162.5933999997</v>
      </c>
      <c r="AX30" s="4">
        <f ca="1">IFERROR(INDIRECT(ADDRESS(30,24)) / INDIRECT(ADDRESS(35,24)),0)</f>
        <v>0.15826689773426952</v>
      </c>
      <c r="AY30" s="4">
        <f ca="1">IFERROR((INDIRECT(ADDRESS(30,24)) - INDIRECT(ADDRESS(30,3)))/ INDIRECT(ADDRESS(30,3)),1)</f>
        <v>-0.77408481641048832</v>
      </c>
      <c r="AZ30" s="3">
        <f ca="1">INDIRECT(ADDRESS(30,29))</f>
        <v>2926348.10136875</v>
      </c>
      <c r="BA30" s="4">
        <f ca="1">IFERROR(INDIRECT(ADDRESS(30,29)) / INDIRECT(ADDRESS(35,29)),0)</f>
        <v>0.12909951675086154</v>
      </c>
      <c r="BB30" s="4">
        <f ca="1">IFERROR((INDIRECT(ADDRESS(30,29)) - INDIRECT(ADDRESS(30,3)))/ INDIRECT(ADDRESS(30,3)),1)</f>
        <v>-0.84590176848201781</v>
      </c>
      <c r="BC30" s="3">
        <f ca="1">INDIRECT(ADDRESS(30,34))</f>
        <v>2775663.9537376999</v>
      </c>
      <c r="BD30" s="4">
        <f ca="1">IFERROR(INDIRECT(ADDRESS(30,34)) / INDIRECT(ADDRESS(35,34)),0)</f>
        <v>0.1340880451651742</v>
      </c>
      <c r="BE30" s="4">
        <f ca="1">IFERROR((INDIRECT(ADDRESS(30,34)) - INDIRECT(ADDRESS(30,3)))/ INDIRECT(ADDRESS(30,3)),1)</f>
        <v>-0.8538366278573869</v>
      </c>
    </row>
    <row r="31" spans="1:57" x14ac:dyDescent="0.25">
      <c r="A31" s="5"/>
      <c r="B31" s="1" t="s">
        <v>25</v>
      </c>
      <c r="C31">
        <v>221100.7</v>
      </c>
      <c r="D31">
        <v>221117.6</v>
      </c>
      <c r="E31">
        <v>221611.4</v>
      </c>
      <c r="F31">
        <v>221939.6</v>
      </c>
      <c r="G31">
        <v>220510</v>
      </c>
      <c r="H31">
        <v>215390.3</v>
      </c>
      <c r="I31">
        <v>210399.6</v>
      </c>
      <c r="J31">
        <v>204449.7</v>
      </c>
      <c r="K31">
        <v>198430.9</v>
      </c>
      <c r="L31">
        <v>192278.2</v>
      </c>
      <c r="M31">
        <v>184046.6</v>
      </c>
      <c r="N31">
        <v>128156.3</v>
      </c>
      <c r="O31">
        <v>119250.4</v>
      </c>
      <c r="P31">
        <v>110719.7</v>
      </c>
      <c r="Q31">
        <v>102749.7</v>
      </c>
      <c r="R31">
        <v>95216.84</v>
      </c>
      <c r="S31">
        <v>89360.08</v>
      </c>
      <c r="T31">
        <v>84775.19</v>
      </c>
      <c r="U31">
        <v>80688.02</v>
      </c>
      <c r="V31">
        <v>77073.78</v>
      </c>
      <c r="W31">
        <v>73759.95</v>
      </c>
      <c r="X31">
        <v>71111.44</v>
      </c>
      <c r="Y31">
        <v>69546.44</v>
      </c>
      <c r="Z31">
        <v>68157.850000000006</v>
      </c>
      <c r="AA31">
        <v>66908.929999999993</v>
      </c>
      <c r="AB31">
        <v>65716.289999999994</v>
      </c>
      <c r="AC31">
        <v>52721.760000000002</v>
      </c>
      <c r="AD31">
        <v>51778.33</v>
      </c>
      <c r="AE31">
        <v>50876.78</v>
      </c>
      <c r="AF31">
        <v>50006.21</v>
      </c>
      <c r="AG31">
        <v>49066.57</v>
      </c>
      <c r="AH31">
        <v>48338.52</v>
      </c>
      <c r="AK31" s="3" t="str">
        <f ca="1">INDIRECT(ADDRESS(31,2))</f>
        <v>Fugitive</v>
      </c>
      <c r="AL31" s="3">
        <f ca="1">INDIRECT(ADDRESS(31,3))</f>
        <v>221100.7</v>
      </c>
      <c r="AM31" s="4">
        <f ca="1">IFERROR(INDIRECT(ADDRESS(31,3)) / INDIRECT(ADDRESS(35,3)),0)</f>
        <v>2.0835088906242141E-3</v>
      </c>
      <c r="AN31" s="3">
        <f ca="1">INDIRECT(ADDRESS(31,9))</f>
        <v>210399.6</v>
      </c>
      <c r="AO31" s="4">
        <f ca="1">IFERROR(INDIRECT(ADDRESS(31,9)) / INDIRECT(ADDRESS(35,9)),0)</f>
        <v>2.7270795005882973E-3</v>
      </c>
      <c r="AP31" s="4">
        <f ca="1">IFERROR((INDIRECT(ADDRESS(31,9)) - INDIRECT(ADDRESS(31,3)))/ INDIRECT(ADDRESS(31,3)),1)</f>
        <v>-4.8399213571010881E-2</v>
      </c>
      <c r="AQ31" s="3">
        <f ca="1">INDIRECT(ADDRESS(31,14))</f>
        <v>128156.3</v>
      </c>
      <c r="AR31" s="4">
        <f ca="1">IFERROR(INDIRECT(ADDRESS(31,14)) / INDIRECT(ADDRESS(35,14)),0)</f>
        <v>2.437016496087172E-3</v>
      </c>
      <c r="AS31" s="4">
        <f ca="1">IFERROR((INDIRECT(ADDRESS(31,14)) - INDIRECT(ADDRESS(31,3)))/ INDIRECT(ADDRESS(31,3)),1)</f>
        <v>-0.42037135115356938</v>
      </c>
      <c r="AT31" s="3">
        <f ca="1">INDIRECT(ADDRESS(31,19))</f>
        <v>89360.08</v>
      </c>
      <c r="AU31" s="4">
        <f ca="1">IFERROR(INDIRECT(ADDRESS(31,19)) / INDIRECT(ADDRESS(35,19)),0)</f>
        <v>2.5047485520603686E-3</v>
      </c>
      <c r="AV31" s="4">
        <f ca="1">IFERROR((INDIRECT(ADDRESS(31,19)) - INDIRECT(ADDRESS(31,3)))/ INDIRECT(ADDRESS(31,3)),1)</f>
        <v>-0.59583990462264469</v>
      </c>
      <c r="AW31" s="3">
        <f ca="1">INDIRECT(ADDRESS(31,24))</f>
        <v>71111.44</v>
      </c>
      <c r="AX31" s="4">
        <f ca="1">IFERROR(INDIRECT(ADDRESS(31,24)) / INDIRECT(ADDRESS(35,24)),0)</f>
        <v>2.6233474273284507E-3</v>
      </c>
      <c r="AY31" s="4">
        <f ca="1">IFERROR((INDIRECT(ADDRESS(31,24)) - INDIRECT(ADDRESS(31,3)))/ INDIRECT(ADDRESS(31,3)),1)</f>
        <v>-0.6783753285267754</v>
      </c>
      <c r="AZ31" s="3">
        <f ca="1">INDIRECT(ADDRESS(31,29))</f>
        <v>52721.760000000002</v>
      </c>
      <c r="BA31" s="4">
        <f ca="1">IFERROR(INDIRECT(ADDRESS(31,29)) / INDIRECT(ADDRESS(35,29)),0)</f>
        <v>2.3258865666293577E-3</v>
      </c>
      <c r="BB31" s="4">
        <f ca="1">IFERROR((INDIRECT(ADDRESS(31,29)) - INDIRECT(ADDRESS(31,3)))/ INDIRECT(ADDRESS(31,3)),1)</f>
        <v>-0.76154865181340448</v>
      </c>
      <c r="BC31" s="3">
        <f ca="1">INDIRECT(ADDRESS(31,34))</f>
        <v>48338.52</v>
      </c>
      <c r="BD31" s="4">
        <f ca="1">IFERROR(INDIRECT(ADDRESS(31,34)) / INDIRECT(ADDRESS(35,34)),0)</f>
        <v>2.3351593568268774E-3</v>
      </c>
      <c r="BE31" s="4">
        <f ca="1">IFERROR((INDIRECT(ADDRESS(31,34)) - INDIRECT(ADDRESS(31,3)))/ INDIRECT(ADDRESS(31,3)),1)</f>
        <v>-0.78137328375712978</v>
      </c>
    </row>
    <row r="32" spans="1:57" x14ac:dyDescent="0.25">
      <c r="A32" s="5"/>
      <c r="B32" s="1" t="s">
        <v>26</v>
      </c>
      <c r="C32">
        <v>20476927.013766222</v>
      </c>
      <c r="D32">
        <v>20463532.243875049</v>
      </c>
      <c r="E32">
        <v>20465960.90357998</v>
      </c>
      <c r="F32">
        <v>20659887.133291531</v>
      </c>
      <c r="G32">
        <v>20497459.10159</v>
      </c>
      <c r="H32">
        <v>20347506.27042</v>
      </c>
      <c r="I32">
        <v>18371296.5546</v>
      </c>
      <c r="J32">
        <v>17817445.373300001</v>
      </c>
      <c r="K32">
        <v>17268725.8475</v>
      </c>
      <c r="L32">
        <v>16724195.6428</v>
      </c>
      <c r="M32">
        <v>16172917.1918</v>
      </c>
      <c r="N32">
        <v>15640256.4936</v>
      </c>
      <c r="O32">
        <v>14910253.244999999</v>
      </c>
      <c r="P32">
        <v>14175995.744000001</v>
      </c>
      <c r="Q32">
        <v>13435639.214</v>
      </c>
      <c r="R32">
        <v>12682005.117000001</v>
      </c>
      <c r="S32">
        <v>11950037.857000001</v>
      </c>
      <c r="T32">
        <v>11512435.476</v>
      </c>
      <c r="U32">
        <v>11077410.606000001</v>
      </c>
      <c r="V32">
        <v>10647179.629000001</v>
      </c>
      <c r="W32">
        <v>10216310.318</v>
      </c>
      <c r="X32">
        <v>9812196.3460000008</v>
      </c>
      <c r="Y32">
        <v>9631342.8637108393</v>
      </c>
      <c r="Z32">
        <v>9467134.4951725993</v>
      </c>
      <c r="AA32">
        <v>9304751.6866927706</v>
      </c>
      <c r="AB32">
        <v>9144249.7152679898</v>
      </c>
      <c r="AC32">
        <v>8984419.4819022994</v>
      </c>
      <c r="AD32">
        <v>8839999.0525635201</v>
      </c>
      <c r="AE32">
        <v>8698925.5682785995</v>
      </c>
      <c r="AF32">
        <v>8561047.8730457295</v>
      </c>
      <c r="AG32">
        <v>8426493.2668609302</v>
      </c>
      <c r="AH32">
        <v>8294238.4117292203</v>
      </c>
      <c r="AK32" s="3" t="str">
        <f ca="1">INDIRECT(ADDRESS(32,2))</f>
        <v>Industrial</v>
      </c>
      <c r="AL32" s="3">
        <f ca="1">INDIRECT(ADDRESS(32,3))</f>
        <v>20476927.013766222</v>
      </c>
      <c r="AM32" s="4">
        <f ca="1">IFERROR(INDIRECT(ADDRESS(32,3)) / INDIRECT(ADDRESS(35,3)),0)</f>
        <v>0.19296121398912378</v>
      </c>
      <c r="AN32" s="3">
        <f ca="1">INDIRECT(ADDRESS(32,9))</f>
        <v>18371296.5546</v>
      </c>
      <c r="AO32" s="4">
        <f ca="1">IFERROR(INDIRECT(ADDRESS(32,9)) / INDIRECT(ADDRESS(35,9)),0)</f>
        <v>0.23811825798755357</v>
      </c>
      <c r="AP32" s="4">
        <f ca="1">IFERROR((INDIRECT(ADDRESS(32,9)) - INDIRECT(ADDRESS(32,3)))/ INDIRECT(ADDRESS(32,3)),1)</f>
        <v>-0.10282941662831775</v>
      </c>
      <c r="AQ32" s="3">
        <f ca="1">INDIRECT(ADDRESS(32,14))</f>
        <v>15640256.4936</v>
      </c>
      <c r="AR32" s="4">
        <f ca="1">IFERROR(INDIRECT(ADDRESS(32,14)) / INDIRECT(ADDRESS(35,14)),0)</f>
        <v>0.29741466535736216</v>
      </c>
      <c r="AS32" s="4">
        <f ca="1">IFERROR((INDIRECT(ADDRESS(32,14)) - INDIRECT(ADDRESS(32,3)))/ INDIRECT(ADDRESS(32,3)),1)</f>
        <v>-0.2362009942661136</v>
      </c>
      <c r="AT32" s="3">
        <f ca="1">INDIRECT(ADDRESS(32,19))</f>
        <v>11950037.857000001</v>
      </c>
      <c r="AU32" s="4">
        <f ca="1">IFERROR(INDIRECT(ADDRESS(32,19)) / INDIRECT(ADDRESS(35,19)),0)</f>
        <v>0.33495762335247847</v>
      </c>
      <c r="AV32" s="4">
        <f ca="1">IFERROR((INDIRECT(ADDRESS(32,19)) - INDIRECT(ADDRESS(32,3)))/ INDIRECT(ADDRESS(32,3)),1)</f>
        <v>-0.41641449183433465</v>
      </c>
      <c r="AW32" s="3">
        <f ca="1">INDIRECT(ADDRESS(32,24))</f>
        <v>9812196.3460000008</v>
      </c>
      <c r="AX32" s="4">
        <f ca="1">IFERROR(INDIRECT(ADDRESS(32,24)) / INDIRECT(ADDRESS(35,24)),0)</f>
        <v>0.36197832642287553</v>
      </c>
      <c r="AY32" s="4">
        <f ca="1">IFERROR((INDIRECT(ADDRESS(32,24)) - INDIRECT(ADDRESS(32,3)))/ INDIRECT(ADDRESS(32,3)),1)</f>
        <v>-0.52081694975991955</v>
      </c>
      <c r="AZ32" s="3">
        <f ca="1">INDIRECT(ADDRESS(32,29))</f>
        <v>8984419.4819022994</v>
      </c>
      <c r="BA32" s="4">
        <f ca="1">IFERROR(INDIRECT(ADDRESS(32,29)) / INDIRECT(ADDRESS(35,29)),0)</f>
        <v>0.39635893380493464</v>
      </c>
      <c r="BB32" s="4">
        <f ca="1">IFERROR((INDIRECT(ADDRESS(32,29)) - INDIRECT(ADDRESS(32,3)))/ INDIRECT(ADDRESS(32,3)),1)</f>
        <v>-0.56124180762756748</v>
      </c>
      <c r="BC32" s="3">
        <f ca="1">INDIRECT(ADDRESS(32,34))</f>
        <v>8294238.4117292203</v>
      </c>
      <c r="BD32" s="4">
        <f ca="1">IFERROR(INDIRECT(ADDRESS(32,34)) / INDIRECT(ADDRESS(35,34)),0)</f>
        <v>0.40068186686109525</v>
      </c>
      <c r="BE32" s="4">
        <f ca="1">IFERROR((INDIRECT(ADDRESS(32,34)) - INDIRECT(ADDRESS(32,3)))/ INDIRECT(ADDRESS(32,3)),1)</f>
        <v>-0.59494711261347111</v>
      </c>
    </row>
    <row r="33" spans="1:57" x14ac:dyDescent="0.25">
      <c r="A33" s="5"/>
      <c r="B33" s="1" t="s">
        <v>27</v>
      </c>
      <c r="C33">
        <v>9744535.1999999993</v>
      </c>
      <c r="D33">
        <v>9711503.4000000004</v>
      </c>
      <c r="E33">
        <v>9646647.1999999993</v>
      </c>
      <c r="F33">
        <v>9616108.1999999993</v>
      </c>
      <c r="G33">
        <v>9325178.8708200008</v>
      </c>
      <c r="H33">
        <v>8919814.8711399995</v>
      </c>
      <c r="I33">
        <v>5767530.4623999996</v>
      </c>
      <c r="J33">
        <v>5244400.0686999997</v>
      </c>
      <c r="K33">
        <v>4718978.8229999999</v>
      </c>
      <c r="L33">
        <v>4182488.6063999999</v>
      </c>
      <c r="M33">
        <v>3623689.4155000001</v>
      </c>
      <c r="N33">
        <v>3063330.8451999999</v>
      </c>
      <c r="O33">
        <v>2511572.0998</v>
      </c>
      <c r="P33">
        <v>1989959.4483</v>
      </c>
      <c r="Q33">
        <v>1522420.6561</v>
      </c>
      <c r="R33">
        <v>1120399.9127</v>
      </c>
      <c r="S33">
        <v>801823.02690000006</v>
      </c>
      <c r="T33">
        <v>604414.34860000003</v>
      </c>
      <c r="U33">
        <v>452249.50880000001</v>
      </c>
      <c r="V33">
        <v>338184.06809999997</v>
      </c>
      <c r="W33">
        <v>253909.8236</v>
      </c>
      <c r="X33">
        <v>194886.00039999999</v>
      </c>
      <c r="Y33">
        <v>176941.94652019901</v>
      </c>
      <c r="Z33">
        <v>164236.810309583</v>
      </c>
      <c r="AA33">
        <v>153452.275997605</v>
      </c>
      <c r="AB33">
        <v>144021.37281126299</v>
      </c>
      <c r="AC33">
        <v>135110.015881731</v>
      </c>
      <c r="AD33">
        <v>132735.845451373</v>
      </c>
      <c r="AE33">
        <v>130883.17287815901</v>
      </c>
      <c r="AF33">
        <v>129331.999234772</v>
      </c>
      <c r="AG33">
        <v>128081.571207945</v>
      </c>
      <c r="AH33">
        <v>126918.283691212</v>
      </c>
      <c r="AK33" s="3" t="str">
        <f ca="1">INDIRECT(ADDRESS(33,2))</f>
        <v>Residential</v>
      </c>
      <c r="AL33" s="3">
        <f ca="1">INDIRECT(ADDRESS(33,3))</f>
        <v>9744535.1999999993</v>
      </c>
      <c r="AM33" s="4">
        <f ca="1">IFERROR(INDIRECT(ADDRESS(33,3)) / INDIRECT(ADDRESS(35,3)),0)</f>
        <v>9.1826148556746326E-2</v>
      </c>
      <c r="AN33" s="3">
        <f ca="1">INDIRECT(ADDRESS(33,9))</f>
        <v>5767530.4623999996</v>
      </c>
      <c r="AO33" s="4">
        <f ca="1">IFERROR(INDIRECT(ADDRESS(33,9)) / INDIRECT(ADDRESS(35,9)),0)</f>
        <v>7.4755437239565015E-2</v>
      </c>
      <c r="AP33" s="4">
        <f ca="1">IFERROR((INDIRECT(ADDRESS(33,9)) - INDIRECT(ADDRESS(33,3)))/ INDIRECT(ADDRESS(33,3)),1)</f>
        <v>-0.40812667366628219</v>
      </c>
      <c r="AQ33" s="3">
        <f ca="1">INDIRECT(ADDRESS(33,14))</f>
        <v>3063330.8451999999</v>
      </c>
      <c r="AR33" s="4">
        <f ca="1">IFERROR(INDIRECT(ADDRESS(33,14)) / INDIRECT(ADDRESS(35,14)),0)</f>
        <v>5.8252210798260089E-2</v>
      </c>
      <c r="AS33" s="4">
        <f ca="1">IFERROR((INDIRECT(ADDRESS(33,14)) - INDIRECT(ADDRESS(33,3)))/ INDIRECT(ADDRESS(33,3)),1)</f>
        <v>-0.68563602241387556</v>
      </c>
      <c r="AT33" s="3">
        <f ca="1">INDIRECT(ADDRESS(33,19))</f>
        <v>801823.02690000006</v>
      </c>
      <c r="AU33" s="4">
        <f ca="1">IFERROR(INDIRECT(ADDRESS(33,19)) / INDIRECT(ADDRESS(35,19)),0)</f>
        <v>2.247496942299556E-2</v>
      </c>
      <c r="AV33" s="4">
        <f ca="1">IFERROR((INDIRECT(ADDRESS(33,19)) - INDIRECT(ADDRESS(33,3)))/ INDIRECT(ADDRESS(33,3)),1)</f>
        <v>-0.91771562106933524</v>
      </c>
      <c r="AW33" s="3">
        <f ca="1">INDIRECT(ADDRESS(33,24))</f>
        <v>194886.00039999999</v>
      </c>
      <c r="AX33" s="4">
        <f ca="1">IFERROR(INDIRECT(ADDRESS(33,24)) / INDIRECT(ADDRESS(35,24)),0)</f>
        <v>7.1894717329823634E-3</v>
      </c>
      <c r="AY33" s="4">
        <f ca="1">IFERROR((INDIRECT(ADDRESS(33,24)) - INDIRECT(ADDRESS(33,3)))/ INDIRECT(ADDRESS(33,3)),1)</f>
        <v>-0.98000048269105755</v>
      </c>
      <c r="AZ33" s="3">
        <f ca="1">INDIRECT(ADDRESS(33,29))</f>
        <v>135110.015881731</v>
      </c>
      <c r="BA33" s="4">
        <f ca="1">IFERROR(INDIRECT(ADDRESS(33,29)) / INDIRECT(ADDRESS(35,29)),0)</f>
        <v>5.9605478071368878E-3</v>
      </c>
      <c r="BB33" s="4">
        <f ca="1">IFERROR((INDIRECT(ADDRESS(33,29)) - INDIRECT(ADDRESS(33,3)))/ INDIRECT(ADDRESS(33,3)),1)</f>
        <v>-0.98613479113075297</v>
      </c>
      <c r="BC33" s="3">
        <f ca="1">INDIRECT(ADDRESS(33,34))</f>
        <v>126918.283691212</v>
      </c>
      <c r="BD33" s="4">
        <f ca="1">IFERROR(INDIRECT(ADDRESS(33,34)) / INDIRECT(ADDRESS(35,34)),0)</f>
        <v>6.1312265603899706E-3</v>
      </c>
      <c r="BE33" s="4">
        <f ca="1">IFERROR((INDIRECT(ADDRESS(33,34)) - INDIRECT(ADDRESS(33,3)))/ INDIRECT(ADDRESS(33,3)),1)</f>
        <v>-0.98697543996852588</v>
      </c>
    </row>
    <row r="34" spans="1:57" x14ac:dyDescent="0.25">
      <c r="A34" s="5"/>
      <c r="B34" s="1" t="s">
        <v>28</v>
      </c>
      <c r="C34">
        <v>48408352.039399996</v>
      </c>
      <c r="D34">
        <v>47690165.509000003</v>
      </c>
      <c r="E34">
        <v>45978190.886799999</v>
      </c>
      <c r="F34">
        <v>44088049.831</v>
      </c>
      <c r="G34">
        <v>42287407.774999999</v>
      </c>
      <c r="H34">
        <v>40116911.537</v>
      </c>
      <c r="I34">
        <v>37089861.100000001</v>
      </c>
      <c r="J34">
        <v>34728113.294</v>
      </c>
      <c r="K34">
        <v>32295634.598999999</v>
      </c>
      <c r="L34">
        <v>29846546.954</v>
      </c>
      <c r="M34">
        <v>27484659.727000002</v>
      </c>
      <c r="N34">
        <v>25359111.734000001</v>
      </c>
      <c r="O34">
        <v>23469550.964000002</v>
      </c>
      <c r="P34">
        <v>21761697.438000001</v>
      </c>
      <c r="Q34">
        <v>20160049.963</v>
      </c>
      <c r="R34">
        <v>18473415.421</v>
      </c>
      <c r="S34">
        <v>16978326.598000001</v>
      </c>
      <c r="T34">
        <v>15939084.34</v>
      </c>
      <c r="U34">
        <v>14908865.912</v>
      </c>
      <c r="V34">
        <v>13921343.614</v>
      </c>
      <c r="W34">
        <v>13170827.968</v>
      </c>
      <c r="X34">
        <v>12477307.328</v>
      </c>
      <c r="Y34">
        <v>11967016.772</v>
      </c>
      <c r="Z34">
        <v>11492637.354</v>
      </c>
      <c r="AA34">
        <v>11064639.875</v>
      </c>
      <c r="AB34">
        <v>10685476.877</v>
      </c>
      <c r="AC34">
        <v>10351026.443</v>
      </c>
      <c r="AD34">
        <v>10066616.522</v>
      </c>
      <c r="AE34">
        <v>9820037.8719999995</v>
      </c>
      <c r="AF34">
        <v>9605500.1209999993</v>
      </c>
      <c r="AG34">
        <v>9416207.8770000003</v>
      </c>
      <c r="AH34">
        <v>9243653.8680000007</v>
      </c>
      <c r="AK34" s="3" t="str">
        <f ca="1">INDIRECT(ADDRESS(34,2))</f>
        <v>Transportation</v>
      </c>
      <c r="AL34" s="3">
        <f ca="1">INDIRECT(ADDRESS(34,3))</f>
        <v>48408352.039399996</v>
      </c>
      <c r="AM34" s="4">
        <f ca="1">IFERROR(INDIRECT(ADDRESS(34,3)) / INDIRECT(ADDRESS(35,3)),0)</f>
        <v>0.456168758645073</v>
      </c>
      <c r="AN34" s="3">
        <f ca="1">INDIRECT(ADDRESS(34,9))</f>
        <v>37089861.100000001</v>
      </c>
      <c r="AO34" s="4">
        <f ca="1">IFERROR(INDIRECT(ADDRESS(34,9)) / INDIRECT(ADDRESS(35,9)),0)</f>
        <v>0.48073760542072003</v>
      </c>
      <c r="AP34" s="4">
        <f ca="1">IFERROR((INDIRECT(ADDRESS(34,9)) - INDIRECT(ADDRESS(34,3)))/ INDIRECT(ADDRESS(34,3)),1)</f>
        <v>-0.23381277119675076</v>
      </c>
      <c r="AQ34" s="3">
        <f ca="1">INDIRECT(ADDRESS(34,14))</f>
        <v>25359111.734000001</v>
      </c>
      <c r="AR34" s="4">
        <f ca="1">IFERROR(INDIRECT(ADDRESS(34,14)) / INDIRECT(ADDRESS(35,14)),0)</f>
        <v>0.48222813565837791</v>
      </c>
      <c r="AS34" s="4">
        <f ca="1">IFERROR((INDIRECT(ADDRESS(34,14)) - INDIRECT(ADDRESS(34,3)))/ INDIRECT(ADDRESS(34,3)),1)</f>
        <v>-0.47614180888950752</v>
      </c>
      <c r="AT34" s="3">
        <f ca="1">INDIRECT(ADDRESS(34,19))</f>
        <v>16978326.598000001</v>
      </c>
      <c r="AU34" s="4">
        <f ca="1">IFERROR(INDIRECT(ADDRESS(34,19)) / INDIRECT(ADDRESS(35,19)),0)</f>
        <v>0.47589974139177749</v>
      </c>
      <c r="AV34" s="4">
        <f ca="1">IFERROR((INDIRECT(ADDRESS(34,19)) - INDIRECT(ADDRESS(34,3)))/ INDIRECT(ADDRESS(34,3)),1)</f>
        <v>-0.64926865132320166</v>
      </c>
      <c r="AW34" s="3">
        <f ca="1">INDIRECT(ADDRESS(34,24))</f>
        <v>12477307.328</v>
      </c>
      <c r="AX34" s="4">
        <f ca="1">IFERROR(INDIRECT(ADDRESS(34,24)) / INDIRECT(ADDRESS(35,24)),0)</f>
        <v>0.46029600974041901</v>
      </c>
      <c r="AY34" s="4">
        <f ca="1">IFERROR((INDIRECT(ADDRESS(34,24)) - INDIRECT(ADDRESS(34,3)))/ INDIRECT(ADDRESS(34,3)),1)</f>
        <v>-0.74224887230524583</v>
      </c>
      <c r="AZ34" s="3">
        <f ca="1">INDIRECT(ADDRESS(34,29))</f>
        <v>10351026.443</v>
      </c>
      <c r="BA34" s="4">
        <f ca="1">IFERROR(INDIRECT(ADDRESS(34,29)) / INDIRECT(ADDRESS(35,29)),0)</f>
        <v>0.45664851390771022</v>
      </c>
      <c r="BB34" s="4">
        <f ca="1">IFERROR((INDIRECT(ADDRESS(34,29)) - INDIRECT(ADDRESS(34,3)))/ INDIRECT(ADDRESS(34,3)),1)</f>
        <v>-0.78617271592771409</v>
      </c>
      <c r="BC34" s="3">
        <f ca="1">INDIRECT(ADDRESS(34,34))</f>
        <v>9243653.8680000007</v>
      </c>
      <c r="BD34" s="4">
        <f ca="1">IFERROR(INDIRECT(ADDRESS(34,34)) / INDIRECT(ADDRESS(35,34)),0)</f>
        <v>0.44654666342968635</v>
      </c>
      <c r="BE34" s="4">
        <f ca="1">IFERROR((INDIRECT(ADDRESS(34,34)) - INDIRECT(ADDRESS(34,3)))/ INDIRECT(ADDRESS(34,3)),1)</f>
        <v>-0.8090483670983778</v>
      </c>
    </row>
    <row r="35" spans="1:57" x14ac:dyDescent="0.25">
      <c r="A35" s="1" t="s">
        <v>21</v>
      </c>
      <c r="B35" s="1"/>
      <c r="C35">
        <v>106119393.58404119</v>
      </c>
      <c r="D35">
        <v>105312188.9726411</v>
      </c>
      <c r="E35">
        <v>103585732.330541</v>
      </c>
      <c r="F35">
        <v>101944430.1329415</v>
      </c>
      <c r="G35">
        <v>99591001.497450009</v>
      </c>
      <c r="H35">
        <v>96440735.950809985</v>
      </c>
      <c r="I35">
        <v>77151986.201580003</v>
      </c>
      <c r="J35">
        <v>73211193.970339999</v>
      </c>
      <c r="K35">
        <v>69218893.703800008</v>
      </c>
      <c r="L35">
        <v>65217876.252600007</v>
      </c>
      <c r="M35">
        <v>61119997.420599997</v>
      </c>
      <c r="N35">
        <v>52587374.851899996</v>
      </c>
      <c r="O35">
        <v>48868570.075499997</v>
      </c>
      <c r="P35">
        <v>45368730.920299999</v>
      </c>
      <c r="Q35">
        <v>42035116.0057</v>
      </c>
      <c r="R35">
        <v>38663522.2161</v>
      </c>
      <c r="S35">
        <v>35676267.754100002</v>
      </c>
      <c r="T35">
        <v>33710882.590700001</v>
      </c>
      <c r="U35">
        <v>31813780.655400001</v>
      </c>
      <c r="V35">
        <v>30015647.814199999</v>
      </c>
      <c r="W35">
        <v>28490939.5592</v>
      </c>
      <c r="X35">
        <v>27107137.719999999</v>
      </c>
      <c r="Y35">
        <v>26343161.549741641</v>
      </c>
      <c r="Z35">
        <v>25647880.467481591</v>
      </c>
      <c r="AA35">
        <v>25004003.437794879</v>
      </c>
      <c r="AB35">
        <v>24412922.841653921</v>
      </c>
      <c r="AC35">
        <v>22667382.303344071</v>
      </c>
      <c r="AD35">
        <v>22202290.277765419</v>
      </c>
      <c r="AE35">
        <v>21779762.456104871</v>
      </c>
      <c r="AF35">
        <v>21393581.207832959</v>
      </c>
      <c r="AG35">
        <v>21036263.457273759</v>
      </c>
      <c r="AH35">
        <v>20700308.892702129</v>
      </c>
    </row>
    <row r="36" spans="1:57" x14ac:dyDescent="0.25">
      <c r="A36" s="5" t="s">
        <v>3</v>
      </c>
      <c r="B36" s="1" t="s">
        <v>22</v>
      </c>
      <c r="C36">
        <v>378717.85989999998</v>
      </c>
      <c r="D36">
        <v>378717.85989999998</v>
      </c>
      <c r="E36">
        <v>378717.85989999998</v>
      </c>
      <c r="F36">
        <v>378717.85989999998</v>
      </c>
      <c r="G36">
        <v>378717.85989999998</v>
      </c>
      <c r="H36">
        <v>378717.85989999998</v>
      </c>
      <c r="I36">
        <v>378717.85989999998</v>
      </c>
      <c r="J36">
        <v>378717.85989999998</v>
      </c>
      <c r="K36">
        <v>378717.85989999998</v>
      </c>
      <c r="L36">
        <v>378717.85989999998</v>
      </c>
      <c r="M36">
        <v>378717.85989999998</v>
      </c>
      <c r="N36">
        <v>378717.85989999998</v>
      </c>
      <c r="O36">
        <v>378717.85989999998</v>
      </c>
      <c r="P36">
        <v>378717.85989999998</v>
      </c>
      <c r="Q36">
        <v>378717.85989999998</v>
      </c>
      <c r="R36">
        <v>378717.85989999998</v>
      </c>
      <c r="S36">
        <v>378717.85989999998</v>
      </c>
      <c r="T36">
        <v>378717.85989999998</v>
      </c>
      <c r="U36">
        <v>378717.85989999998</v>
      </c>
      <c r="V36">
        <v>378717.85989999998</v>
      </c>
      <c r="W36">
        <v>378717.85989999998</v>
      </c>
      <c r="X36">
        <v>378717.85989999998</v>
      </c>
      <c r="Y36">
        <v>378717.85989999998</v>
      </c>
      <c r="Z36">
        <v>378717.85989999998</v>
      </c>
      <c r="AA36">
        <v>378717.85989999998</v>
      </c>
      <c r="AB36">
        <v>378717.85989999998</v>
      </c>
      <c r="AC36">
        <v>378717.85989999998</v>
      </c>
      <c r="AD36">
        <v>378717.85989999998</v>
      </c>
      <c r="AE36">
        <v>378717.85989999998</v>
      </c>
      <c r="AF36">
        <v>378717.85989999998</v>
      </c>
      <c r="AG36">
        <v>378717.85989999998</v>
      </c>
      <c r="AH36">
        <v>378717.85989999998</v>
      </c>
      <c r="AK36" s="3" t="str">
        <f ca="1">INDIRECT(ADDRESS(36,2))</f>
        <v>Agriculture</v>
      </c>
      <c r="AL36" s="3">
        <f ca="1">INDIRECT(ADDRESS(36,3))</f>
        <v>378717.85989999998</v>
      </c>
      <c r="AM36" s="4">
        <f ca="1">IFERROR(INDIRECT(ADDRESS(36,3)) / INDIRECT(ADDRESS(43,3)),0)</f>
        <v>3.5687902758328015E-3</v>
      </c>
      <c r="AN36" s="3">
        <f ca="1">INDIRECT(ADDRESS(36,9))</f>
        <v>378717.85989999998</v>
      </c>
      <c r="AO36" s="4">
        <f ca="1">IFERROR(INDIRECT(ADDRESS(36,9)) / INDIRECT(ADDRESS(43,9)),0)</f>
        <v>4.9462802316324666E-3</v>
      </c>
      <c r="AP36" s="4">
        <f ca="1">IFERROR((INDIRECT(ADDRESS(36,9)) - INDIRECT(ADDRESS(36,3)))/ INDIRECT(ADDRESS(36,3)),1)</f>
        <v>0</v>
      </c>
      <c r="AQ36" s="3">
        <f ca="1">INDIRECT(ADDRESS(36,14))</f>
        <v>378717.85989999998</v>
      </c>
      <c r="AR36" s="4">
        <f ca="1">IFERROR(INDIRECT(ADDRESS(36,14)) / INDIRECT(ADDRESS(43,14)),0)</f>
        <v>7.027152322643334E-3</v>
      </c>
      <c r="AS36" s="4">
        <f ca="1">IFERROR((INDIRECT(ADDRESS(36,14)) - INDIRECT(ADDRESS(36,3)))/ INDIRECT(ADDRESS(36,3)),1)</f>
        <v>0</v>
      </c>
      <c r="AT36" s="3">
        <f ca="1">INDIRECT(ADDRESS(36,19))</f>
        <v>378717.85989999998</v>
      </c>
      <c r="AU36" s="4">
        <f ca="1">IFERROR(INDIRECT(ADDRESS(36,19)) / INDIRECT(ADDRESS(43,19)),0)</f>
        <v>8.453256671325007E-3</v>
      </c>
      <c r="AV36" s="4">
        <f ca="1">IFERROR((INDIRECT(ADDRESS(36,19)) - INDIRECT(ADDRESS(36,3)))/ INDIRECT(ADDRESS(36,3)),1)</f>
        <v>0</v>
      </c>
      <c r="AW36" s="3">
        <f ca="1">INDIRECT(ADDRESS(36,24))</f>
        <v>378717.85989999998</v>
      </c>
      <c r="AX36" s="4">
        <f ca="1">IFERROR(INDIRECT(ADDRESS(36,24)) / INDIRECT(ADDRESS(43,24)),0)</f>
        <v>9.9010034530636927E-3</v>
      </c>
      <c r="AY36" s="4">
        <f ca="1">IFERROR((INDIRECT(ADDRESS(36,24)) - INDIRECT(ADDRESS(36,3)))/ INDIRECT(ADDRESS(36,3)),1)</f>
        <v>0</v>
      </c>
      <c r="AZ36" s="3">
        <f ca="1">INDIRECT(ADDRESS(36,29))</f>
        <v>378717.85989999998</v>
      </c>
      <c r="BA36" s="4">
        <f ca="1">IFERROR(INDIRECT(ADDRESS(36,29)) / INDIRECT(ADDRESS(43,29)),0)</f>
        <v>1.2039388698504284E-2</v>
      </c>
      <c r="BB36" s="4">
        <f ca="1">IFERROR((INDIRECT(ADDRESS(36,29)) - INDIRECT(ADDRESS(36,3)))/ INDIRECT(ADDRESS(36,3)),1)</f>
        <v>0</v>
      </c>
      <c r="BC36" s="3">
        <f ca="1">INDIRECT(ADDRESS(36,34))</f>
        <v>378717.85989999998</v>
      </c>
      <c r="BD36" s="4">
        <f ca="1">IFERROR(INDIRECT(ADDRESS(36,34)) / INDIRECT(ADDRESS(43,34)),0)</f>
        <v>1.3988798248269912E-2</v>
      </c>
      <c r="BE36" s="4">
        <f ca="1">IFERROR((INDIRECT(ADDRESS(36,34)) - INDIRECT(ADDRESS(36,3)))/ INDIRECT(ADDRESS(36,3)),1)</f>
        <v>0</v>
      </c>
    </row>
    <row r="37" spans="1:57" x14ac:dyDescent="0.25">
      <c r="A37" s="5"/>
      <c r="B37" s="1" t="s">
        <v>23</v>
      </c>
      <c r="C37">
        <v>7899613.5607049996</v>
      </c>
      <c r="D37">
        <v>7860394.4495959999</v>
      </c>
      <c r="E37">
        <v>7909264.983891</v>
      </c>
      <c r="F37">
        <v>7952860.02618</v>
      </c>
      <c r="G37">
        <v>7670512.765447</v>
      </c>
      <c r="H37">
        <v>7199643.3709049998</v>
      </c>
      <c r="I37">
        <v>4354723.3646149999</v>
      </c>
      <c r="J37">
        <v>4016256.3771529999</v>
      </c>
      <c r="K37">
        <v>3695534.2297220002</v>
      </c>
      <c r="L37">
        <v>3386710.9893169999</v>
      </c>
      <c r="M37">
        <v>3023649.1321939998</v>
      </c>
      <c r="N37">
        <v>2764985.2005019998</v>
      </c>
      <c r="O37">
        <v>2607934.1239510002</v>
      </c>
      <c r="P37">
        <v>2455674.0833840002</v>
      </c>
      <c r="Q37">
        <v>2308391.970803</v>
      </c>
      <c r="R37">
        <v>2139757.5265250001</v>
      </c>
      <c r="S37">
        <v>2067163.8273799999</v>
      </c>
      <c r="T37">
        <v>1967066.0784819999</v>
      </c>
      <c r="U37">
        <v>1866544.923529</v>
      </c>
      <c r="V37">
        <v>1764541.5404660001</v>
      </c>
      <c r="W37">
        <v>1639425.8735450001</v>
      </c>
      <c r="X37">
        <v>1559565.5391160001</v>
      </c>
      <c r="Y37">
        <v>1413783.316996</v>
      </c>
      <c r="Z37">
        <v>1270860.264858</v>
      </c>
      <c r="AA37">
        <v>1131056.2727030001</v>
      </c>
      <c r="AB37">
        <v>979900.512322</v>
      </c>
      <c r="AC37">
        <v>861276.29064400005</v>
      </c>
      <c r="AD37">
        <v>760240.55966699996</v>
      </c>
      <c r="AE37">
        <v>662618.63987299998</v>
      </c>
      <c r="AF37">
        <v>568336.54186100001</v>
      </c>
      <c r="AG37">
        <v>471256.59591700003</v>
      </c>
      <c r="AH37">
        <v>389542.01158300001</v>
      </c>
      <c r="AK37" s="3" t="str">
        <f ca="1">INDIRECT(ADDRESS(37,2))</f>
        <v>Commercial</v>
      </c>
      <c r="AL37" s="3">
        <f ca="1">INDIRECT(ADDRESS(37,3))</f>
        <v>7899613.5607049996</v>
      </c>
      <c r="AM37" s="4">
        <f ca="1">IFERROR(INDIRECT(ADDRESS(37,3)) / INDIRECT(ADDRESS(43,3)),0)</f>
        <v>7.4440809487371459E-2</v>
      </c>
      <c r="AN37" s="3">
        <f ca="1">INDIRECT(ADDRESS(37,9))</f>
        <v>4354723.3646149999</v>
      </c>
      <c r="AO37" s="4">
        <f ca="1">IFERROR(INDIRECT(ADDRESS(37,9)) / INDIRECT(ADDRESS(43,9)),0)</f>
        <v>5.6875274111209663E-2</v>
      </c>
      <c r="AP37" s="4">
        <f ca="1">IFERROR((INDIRECT(ADDRESS(37,9)) - INDIRECT(ADDRESS(37,3)))/ INDIRECT(ADDRESS(37,3)),1)</f>
        <v>-0.44874222882538534</v>
      </c>
      <c r="AQ37" s="3">
        <f ca="1">INDIRECT(ADDRESS(37,14))</f>
        <v>2764985.2005019998</v>
      </c>
      <c r="AR37" s="4">
        <f ca="1">IFERROR(INDIRECT(ADDRESS(37,14)) / INDIRECT(ADDRESS(43,14)),0)</f>
        <v>5.1304610189000684E-2</v>
      </c>
      <c r="AS37" s="4">
        <f ca="1">IFERROR((INDIRECT(ADDRESS(37,14)) - INDIRECT(ADDRESS(37,3)))/ INDIRECT(ADDRESS(37,3)),1)</f>
        <v>-0.64998475188003513</v>
      </c>
      <c r="AT37" s="3">
        <f ca="1">INDIRECT(ADDRESS(37,19))</f>
        <v>2067163.8273799999</v>
      </c>
      <c r="AU37" s="4">
        <f ca="1">IFERROR(INDIRECT(ADDRESS(37,19)) / INDIRECT(ADDRESS(43,19)),0)</f>
        <v>4.6140592416570432E-2</v>
      </c>
      <c r="AV37" s="4">
        <f ca="1">IFERROR((INDIRECT(ADDRESS(37,19)) - INDIRECT(ADDRESS(37,3)))/ INDIRECT(ADDRESS(37,3)),1)</f>
        <v>-0.73832089234558507</v>
      </c>
      <c r="AW37" s="3">
        <f ca="1">INDIRECT(ADDRESS(37,24))</f>
        <v>1559565.5391160001</v>
      </c>
      <c r="AX37" s="4">
        <f ca="1">IFERROR(INDIRECT(ADDRESS(37,24)) / INDIRECT(ADDRESS(43,24)),0)</f>
        <v>4.077247318661946E-2</v>
      </c>
      <c r="AY37" s="4">
        <f ca="1">IFERROR((INDIRECT(ADDRESS(37,24)) - INDIRECT(ADDRESS(37,3)))/ INDIRECT(ADDRESS(37,3)),1)</f>
        <v>-0.80257698340160111</v>
      </c>
      <c r="AZ37" s="3">
        <f ca="1">INDIRECT(ADDRESS(37,29))</f>
        <v>861276.29064400005</v>
      </c>
      <c r="BA37" s="4">
        <f ca="1">IFERROR(INDIRECT(ADDRESS(37,29)) / INDIRECT(ADDRESS(43,29)),0)</f>
        <v>2.7379854867702967E-2</v>
      </c>
      <c r="BB37" s="4">
        <f ca="1">IFERROR((INDIRECT(ADDRESS(37,29)) - INDIRECT(ADDRESS(37,3)))/ INDIRECT(ADDRESS(37,3)),1)</f>
        <v>-0.89097235149219933</v>
      </c>
      <c r="BC37" s="3">
        <f ca="1">INDIRECT(ADDRESS(37,34))</f>
        <v>389542.01158300001</v>
      </c>
      <c r="BD37" s="4">
        <f ca="1">IFERROR(INDIRECT(ADDRESS(37,34)) / INDIRECT(ADDRESS(43,34)),0)</f>
        <v>1.4388612701546923E-2</v>
      </c>
      <c r="BE37" s="4">
        <f ca="1">IFERROR((INDIRECT(ADDRESS(37,34)) - INDIRECT(ADDRESS(37,3)))/ INDIRECT(ADDRESS(37,3)),1)</f>
        <v>-0.95068847246899557</v>
      </c>
    </row>
    <row r="38" spans="1:57" x14ac:dyDescent="0.25">
      <c r="A38" s="5"/>
      <c r="B38" s="1" t="s">
        <v>24</v>
      </c>
      <c r="C38">
        <v>18990147.210269999</v>
      </c>
      <c r="D38">
        <v>18990145.210269999</v>
      </c>
      <c r="E38">
        <v>18990145.210269999</v>
      </c>
      <c r="F38">
        <v>18990145.210269999</v>
      </c>
      <c r="G38">
        <v>18345028.237969998</v>
      </c>
      <c r="H38">
        <v>17699910.266770002</v>
      </c>
      <c r="I38">
        <v>10047383.294570001</v>
      </c>
      <c r="J38">
        <v>9743601.3233700003</v>
      </c>
      <c r="K38">
        <v>9439818.3511699997</v>
      </c>
      <c r="L38">
        <v>9136035.3799699992</v>
      </c>
      <c r="M38">
        <v>8832252.4077700004</v>
      </c>
      <c r="N38">
        <v>5385980.1861700006</v>
      </c>
      <c r="O38">
        <v>5338250.9841700001</v>
      </c>
      <c r="P38">
        <v>5290520.7821699996</v>
      </c>
      <c r="Q38">
        <v>5242791.5802699998</v>
      </c>
      <c r="R38">
        <v>5195061.3784699999</v>
      </c>
      <c r="S38">
        <v>5147332.1764700003</v>
      </c>
      <c r="T38">
        <v>5099602.9744699998</v>
      </c>
      <c r="U38">
        <v>5051872.77257</v>
      </c>
      <c r="V38">
        <v>5004143.5705700004</v>
      </c>
      <c r="W38">
        <v>4956413.3687699996</v>
      </c>
      <c r="X38">
        <v>4908684.16677</v>
      </c>
      <c r="Y38">
        <v>4817997.2830699999</v>
      </c>
      <c r="Z38">
        <v>4727311.09937</v>
      </c>
      <c r="AA38">
        <v>4636624.7157699997</v>
      </c>
      <c r="AB38">
        <v>4545938.3319699997</v>
      </c>
      <c r="AC38">
        <v>4133861.0409200001</v>
      </c>
      <c r="AD38">
        <v>4088407.51235</v>
      </c>
      <c r="AE38">
        <v>4042953.98379</v>
      </c>
      <c r="AF38">
        <v>3997500.3552199998</v>
      </c>
      <c r="AG38">
        <v>3952046.8266599998</v>
      </c>
      <c r="AH38">
        <v>3906593.2380900001</v>
      </c>
      <c r="AK38" s="3" t="str">
        <f ca="1">INDIRECT(ADDRESS(38,2))</f>
        <v>Energy Production</v>
      </c>
      <c r="AL38" s="3">
        <f ca="1">INDIRECT(ADDRESS(38,3))</f>
        <v>18990147.210269999</v>
      </c>
      <c r="AM38" s="4">
        <f ca="1">IFERROR(INDIRECT(ADDRESS(38,3)) / INDIRECT(ADDRESS(43,3)),0)</f>
        <v>0.17895077015522862</v>
      </c>
      <c r="AN38" s="3">
        <f ca="1">INDIRECT(ADDRESS(38,9))</f>
        <v>10047383.294570001</v>
      </c>
      <c r="AO38" s="4">
        <f ca="1">IFERROR(INDIRECT(ADDRESS(38,9)) / INDIRECT(ADDRESS(43,9)),0)</f>
        <v>0.13122479458108569</v>
      </c>
      <c r="AP38" s="4">
        <f ca="1">IFERROR((INDIRECT(ADDRESS(38,9)) - INDIRECT(ADDRESS(38,3)))/ INDIRECT(ADDRESS(38,3)),1)</f>
        <v>-0.47091598694209652</v>
      </c>
      <c r="AQ38" s="3">
        <f ca="1">INDIRECT(ADDRESS(38,14))</f>
        <v>5385980.1861700006</v>
      </c>
      <c r="AR38" s="4">
        <f ca="1">IFERROR(INDIRECT(ADDRESS(38,14)) / INDIRECT(ADDRESS(43,14)),0)</f>
        <v>9.9937465808845785E-2</v>
      </c>
      <c r="AS38" s="4">
        <f ca="1">IFERROR((INDIRECT(ADDRESS(38,14)) - INDIRECT(ADDRESS(38,3)))/ INDIRECT(ADDRESS(38,3)),1)</f>
        <v>-0.71638028254687636</v>
      </c>
      <c r="AT38" s="3">
        <f ca="1">INDIRECT(ADDRESS(38,19))</f>
        <v>5147332.1764700003</v>
      </c>
      <c r="AU38" s="4">
        <f ca="1">IFERROR(INDIRECT(ADDRESS(38,19)) / INDIRECT(ADDRESS(43,19)),0)</f>
        <v>0.11489217876273414</v>
      </c>
      <c r="AV38" s="4">
        <f ca="1">IFERROR((INDIRECT(ADDRESS(38,19)) - INDIRECT(ADDRESS(38,3)))/ INDIRECT(ADDRESS(38,3)),1)</f>
        <v>-0.72894722092063147</v>
      </c>
      <c r="AW38" s="3">
        <f ca="1">INDIRECT(ADDRESS(38,24))</f>
        <v>4908684.16677</v>
      </c>
      <c r="AX38" s="4">
        <f ca="1">IFERROR(INDIRECT(ADDRESS(38,24)) / INDIRECT(ADDRESS(43,24)),0)</f>
        <v>0.12833009485748006</v>
      </c>
      <c r="AY38" s="4">
        <f ca="1">IFERROR((INDIRECT(ADDRESS(38,24)) - INDIRECT(ADDRESS(38,3)))/ INDIRECT(ADDRESS(38,3)),1)</f>
        <v>-0.74151415929438658</v>
      </c>
      <c r="AZ38" s="3">
        <f ca="1">INDIRECT(ADDRESS(38,29))</f>
        <v>4133861.0409200001</v>
      </c>
      <c r="BA38" s="4">
        <f ca="1">IFERROR(INDIRECT(ADDRESS(38,29)) / INDIRECT(ADDRESS(43,29)),0)</f>
        <v>0.13141487415032629</v>
      </c>
      <c r="BB38" s="4">
        <f ca="1">IFERROR((INDIRECT(ADDRESS(38,29)) - INDIRECT(ADDRESS(38,3)))/ INDIRECT(ADDRESS(38,3)),1)</f>
        <v>-0.78231548206828116</v>
      </c>
      <c r="BC38" s="3">
        <f ca="1">INDIRECT(ADDRESS(38,34))</f>
        <v>3906593.2380900001</v>
      </c>
      <c r="BD38" s="4">
        <f ca="1">IFERROR(INDIRECT(ADDRESS(38,34)) / INDIRECT(ADDRESS(43,34)),0)</f>
        <v>0.14429883148401387</v>
      </c>
      <c r="BE38" s="4">
        <f ca="1">IFERROR((INDIRECT(ADDRESS(38,34)) - INDIRECT(ADDRESS(38,3)))/ INDIRECT(ADDRESS(38,3)),1)</f>
        <v>-0.79428315142405592</v>
      </c>
    </row>
    <row r="39" spans="1:57" x14ac:dyDescent="0.25">
      <c r="A39" s="5"/>
      <c r="B39" s="1" t="s">
        <v>25</v>
      </c>
      <c r="C39">
        <v>221100.7</v>
      </c>
      <c r="D39">
        <v>220935.7</v>
      </c>
      <c r="E39">
        <v>220534.5</v>
      </c>
      <c r="F39">
        <v>220004.6</v>
      </c>
      <c r="G39">
        <v>219253.2</v>
      </c>
      <c r="H39">
        <v>217058.8</v>
      </c>
      <c r="I39">
        <v>215924.1</v>
      </c>
      <c r="J39">
        <v>213883.7</v>
      </c>
      <c r="K39">
        <v>211791.7</v>
      </c>
      <c r="L39">
        <v>209578.8</v>
      </c>
      <c r="M39">
        <v>206295.4</v>
      </c>
      <c r="N39">
        <v>155291</v>
      </c>
      <c r="O39">
        <v>151821.9</v>
      </c>
      <c r="P39">
        <v>148185.4</v>
      </c>
      <c r="Q39">
        <v>144511.20000000001</v>
      </c>
      <c r="R39">
        <v>140515.5</v>
      </c>
      <c r="S39">
        <v>138375.4</v>
      </c>
      <c r="T39">
        <v>136144.5</v>
      </c>
      <c r="U39">
        <v>134210</v>
      </c>
      <c r="V39">
        <v>132531.29999999999</v>
      </c>
      <c r="W39">
        <v>130636.6</v>
      </c>
      <c r="X39">
        <v>129800.7</v>
      </c>
      <c r="Y39">
        <v>128644.2</v>
      </c>
      <c r="Z39">
        <v>127618.2</v>
      </c>
      <c r="AA39">
        <v>126716.9</v>
      </c>
      <c r="AB39">
        <v>125484.8</v>
      </c>
      <c r="AC39">
        <v>113202.6</v>
      </c>
      <c r="AD39">
        <v>112612.1</v>
      </c>
      <c r="AE39">
        <v>112092</v>
      </c>
      <c r="AF39">
        <v>111614.3</v>
      </c>
      <c r="AG39">
        <v>110694.5</v>
      </c>
      <c r="AH39">
        <v>110713.5</v>
      </c>
      <c r="AK39" s="3" t="str">
        <f ca="1">INDIRECT(ADDRESS(39,2))</f>
        <v>Fugitive</v>
      </c>
      <c r="AL39" s="3">
        <f ca="1">INDIRECT(ADDRESS(39,3))</f>
        <v>221100.7</v>
      </c>
      <c r="AM39" s="4">
        <f ca="1">IFERROR(INDIRECT(ADDRESS(39,3)) / INDIRECT(ADDRESS(43,3)),0)</f>
        <v>2.0835088906242141E-3</v>
      </c>
      <c r="AN39" s="3">
        <f ca="1">INDIRECT(ADDRESS(39,9))</f>
        <v>215924.1</v>
      </c>
      <c r="AO39" s="4">
        <f ca="1">IFERROR(INDIRECT(ADDRESS(39,9)) / INDIRECT(ADDRESS(43,9)),0)</f>
        <v>2.8200970179886463E-3</v>
      </c>
      <c r="AP39" s="4">
        <f ca="1">IFERROR((INDIRECT(ADDRESS(39,9)) - INDIRECT(ADDRESS(39,3)))/ INDIRECT(ADDRESS(39,3)),1)</f>
        <v>-2.3412861198539876E-2</v>
      </c>
      <c r="AQ39" s="3">
        <f ca="1">INDIRECT(ADDRESS(39,14))</f>
        <v>155291</v>
      </c>
      <c r="AR39" s="4">
        <f ca="1">IFERROR(INDIRECT(ADDRESS(39,14)) / INDIRECT(ADDRESS(43,14)),0)</f>
        <v>2.8814419040700911E-3</v>
      </c>
      <c r="AS39" s="4">
        <f ca="1">IFERROR((INDIRECT(ADDRESS(39,14)) - INDIRECT(ADDRESS(39,3)))/ INDIRECT(ADDRESS(39,3)),1)</f>
        <v>-0.29764582382597615</v>
      </c>
      <c r="AT39" s="3">
        <f ca="1">INDIRECT(ADDRESS(39,19))</f>
        <v>138375.4</v>
      </c>
      <c r="AU39" s="4">
        <f ca="1">IFERROR(INDIRECT(ADDRESS(39,19)) / INDIRECT(ADDRESS(43,19)),0)</f>
        <v>3.0886390557501842E-3</v>
      </c>
      <c r="AV39" s="4">
        <f ca="1">IFERROR((INDIRECT(ADDRESS(39,19)) - INDIRECT(ADDRESS(39,3)))/ INDIRECT(ADDRESS(39,3)),1)</f>
        <v>-0.37415213972637812</v>
      </c>
      <c r="AW39" s="3">
        <f ca="1">INDIRECT(ADDRESS(39,24))</f>
        <v>129800.7</v>
      </c>
      <c r="AX39" s="4">
        <f ca="1">IFERROR(INDIRECT(ADDRESS(39,24)) / INDIRECT(ADDRESS(43,24)),0)</f>
        <v>3.3934422296572667E-3</v>
      </c>
      <c r="AY39" s="4">
        <f ca="1">IFERROR((INDIRECT(ADDRESS(39,24)) - INDIRECT(ADDRESS(39,3)))/ INDIRECT(ADDRESS(39,3)),1)</f>
        <v>-0.41293401603884572</v>
      </c>
      <c r="AZ39" s="3">
        <f ca="1">INDIRECT(ADDRESS(39,29))</f>
        <v>113202.6</v>
      </c>
      <c r="BA39" s="4">
        <f ca="1">IFERROR(INDIRECT(ADDRESS(39,29)) / INDIRECT(ADDRESS(43,29)),0)</f>
        <v>3.598695090432679E-3</v>
      </c>
      <c r="BB39" s="4">
        <f ca="1">IFERROR((INDIRECT(ADDRESS(39,29)) - INDIRECT(ADDRESS(39,3)))/ INDIRECT(ADDRESS(39,3)),1)</f>
        <v>-0.48800433467646193</v>
      </c>
      <c r="BC39" s="3">
        <f ca="1">INDIRECT(ADDRESS(39,34))</f>
        <v>110713.5</v>
      </c>
      <c r="BD39" s="4">
        <f ca="1">IFERROR(INDIRECT(ADDRESS(39,34)) / INDIRECT(ADDRESS(43,34)),0)</f>
        <v>4.0894528060249815E-3</v>
      </c>
      <c r="BE39" s="4">
        <f ca="1">IFERROR((INDIRECT(ADDRESS(39,34)) - INDIRECT(ADDRESS(39,3)))/ INDIRECT(ADDRESS(39,3)),1)</f>
        <v>-0.49926210093409928</v>
      </c>
    </row>
    <row r="40" spans="1:57" x14ac:dyDescent="0.25">
      <c r="A40" s="5"/>
      <c r="B40" s="1" t="s">
        <v>26</v>
      </c>
      <c r="C40">
        <v>20476927.013766222</v>
      </c>
      <c r="D40">
        <v>20464902.193875059</v>
      </c>
      <c r="E40">
        <v>20468442.483579971</v>
      </c>
      <c r="F40">
        <v>20469976.543291539</v>
      </c>
      <c r="G40">
        <v>20005367.213024221</v>
      </c>
      <c r="H40">
        <v>19534460.734566242</v>
      </c>
      <c r="I40">
        <v>18060764.464855991</v>
      </c>
      <c r="J40">
        <v>17624850.916318141</v>
      </c>
      <c r="K40">
        <v>17190550.947749041</v>
      </c>
      <c r="L40">
        <v>16755947.129154669</v>
      </c>
      <c r="M40">
        <v>16318617.4612776</v>
      </c>
      <c r="N40">
        <v>15888278.691969199</v>
      </c>
      <c r="O40">
        <v>15704270.943520401</v>
      </c>
      <c r="P40">
        <v>15519073.185086999</v>
      </c>
      <c r="Q40">
        <v>15332830.5866687</v>
      </c>
      <c r="R40">
        <v>15145465.5089461</v>
      </c>
      <c r="S40">
        <v>14957907.979091801</v>
      </c>
      <c r="T40">
        <v>14775492.4099898</v>
      </c>
      <c r="U40">
        <v>14591673.320942</v>
      </c>
      <c r="V40">
        <v>14406350.1920051</v>
      </c>
      <c r="W40">
        <v>14219356.1869261</v>
      </c>
      <c r="X40">
        <v>14031397.5363557</v>
      </c>
      <c r="Y40">
        <v>13661157.693475701</v>
      </c>
      <c r="Z40">
        <v>13289720.4606135</v>
      </c>
      <c r="AA40">
        <v>12917203.0137688</v>
      </c>
      <c r="AB40">
        <v>12543728.2728498</v>
      </c>
      <c r="AC40">
        <v>12169149.248127701</v>
      </c>
      <c r="AD40">
        <v>11803365.7693041</v>
      </c>
      <c r="AE40">
        <v>11437393.603498301</v>
      </c>
      <c r="AF40">
        <v>11071212.817710901</v>
      </c>
      <c r="AG40">
        <v>10704909.397954401</v>
      </c>
      <c r="AH40">
        <v>10338169.3181883</v>
      </c>
      <c r="AK40" s="3" t="str">
        <f ca="1">INDIRECT(ADDRESS(40,2))</f>
        <v>Industrial</v>
      </c>
      <c r="AL40" s="3">
        <f ca="1">INDIRECT(ADDRESS(40,3))</f>
        <v>20476927.013766222</v>
      </c>
      <c r="AM40" s="4">
        <f ca="1">IFERROR(INDIRECT(ADDRESS(40,3)) / INDIRECT(ADDRESS(43,3)),0)</f>
        <v>0.19296121398912378</v>
      </c>
      <c r="AN40" s="3">
        <f ca="1">INDIRECT(ADDRESS(40,9))</f>
        <v>18060764.464855991</v>
      </c>
      <c r="AO40" s="4">
        <f ca="1">IFERROR(INDIRECT(ADDRESS(40,9)) / INDIRECT(ADDRESS(43,9)),0)</f>
        <v>0.23588431309861055</v>
      </c>
      <c r="AP40" s="4">
        <f ca="1">IFERROR((INDIRECT(ADDRESS(40,9)) - INDIRECT(ADDRESS(40,3)))/ INDIRECT(ADDRESS(40,3)),1)</f>
        <v>-0.11799439179940883</v>
      </c>
      <c r="AQ40" s="3">
        <f ca="1">INDIRECT(ADDRESS(40,14))</f>
        <v>15888278.691969199</v>
      </c>
      <c r="AR40" s="4">
        <f ca="1">IFERROR(INDIRECT(ADDRESS(40,14)) / INDIRECT(ADDRESS(43,14)),0)</f>
        <v>0.29480879127949455</v>
      </c>
      <c r="AS40" s="4">
        <f ca="1">IFERROR((INDIRECT(ADDRESS(40,14)) - INDIRECT(ADDRESS(40,3)))/ INDIRECT(ADDRESS(40,3)),1)</f>
        <v>-0.22408871793663998</v>
      </c>
      <c r="AT40" s="3">
        <f ca="1">INDIRECT(ADDRESS(40,19))</f>
        <v>14957907.979091801</v>
      </c>
      <c r="AU40" s="4">
        <f ca="1">IFERROR(INDIRECT(ADDRESS(40,19)) / INDIRECT(ADDRESS(43,19)),0)</f>
        <v>0.33387132956103649</v>
      </c>
      <c r="AV40" s="4">
        <f ca="1">IFERROR((INDIRECT(ADDRESS(40,19)) - INDIRECT(ADDRESS(40,3)))/ INDIRECT(ADDRESS(40,3)),1)</f>
        <v>-0.26952379285056283</v>
      </c>
      <c r="AW40" s="3">
        <f ca="1">INDIRECT(ADDRESS(40,24))</f>
        <v>14031397.5363557</v>
      </c>
      <c r="AX40" s="4">
        <f ca="1">IFERROR(INDIRECT(ADDRESS(40,24)) / INDIRECT(ADDRESS(43,24)),0)</f>
        <v>0.36682958521008263</v>
      </c>
      <c r="AY40" s="4">
        <f ca="1">IFERROR((INDIRECT(ADDRESS(40,24)) - INDIRECT(ADDRESS(40,3)))/ INDIRECT(ADDRESS(40,3)),1)</f>
        <v>-0.31477034972470835</v>
      </c>
      <c r="AZ40" s="3">
        <f ca="1">INDIRECT(ADDRESS(40,29))</f>
        <v>12169149.248127701</v>
      </c>
      <c r="BA40" s="4">
        <f ca="1">IFERROR(INDIRECT(ADDRESS(40,29)) / INDIRECT(ADDRESS(43,29)),0)</f>
        <v>0.38685558153240018</v>
      </c>
      <c r="BB40" s="4">
        <f ca="1">IFERROR((INDIRECT(ADDRESS(40,29)) - INDIRECT(ADDRESS(40,3)))/ INDIRECT(ADDRESS(40,3)),1)</f>
        <v>-0.40571408786354374</v>
      </c>
      <c r="BC40" s="3">
        <f ca="1">INDIRECT(ADDRESS(40,34))</f>
        <v>10338169.3181883</v>
      </c>
      <c r="BD40" s="4">
        <f ca="1">IFERROR(INDIRECT(ADDRESS(40,34)) / INDIRECT(ADDRESS(43,34)),0)</f>
        <v>0.38186359863455238</v>
      </c>
      <c r="BE40" s="4">
        <f ca="1">IFERROR((INDIRECT(ADDRESS(40,34)) - INDIRECT(ADDRESS(40,3)))/ INDIRECT(ADDRESS(40,3)),1)</f>
        <v>-0.49513082157111959</v>
      </c>
    </row>
    <row r="41" spans="1:57" x14ac:dyDescent="0.25">
      <c r="A41" s="5"/>
      <c r="B41" s="1" t="s">
        <v>27</v>
      </c>
      <c r="C41">
        <v>9744535.1999999993</v>
      </c>
      <c r="D41">
        <v>9714925.6999999993</v>
      </c>
      <c r="E41">
        <v>9670781.9000000004</v>
      </c>
      <c r="F41">
        <v>9620578.9000000004</v>
      </c>
      <c r="G41">
        <v>9167055.3000000007</v>
      </c>
      <c r="H41">
        <v>8690540.9000000004</v>
      </c>
      <c r="I41">
        <v>5668250.4699999997</v>
      </c>
      <c r="J41">
        <v>5238096.71</v>
      </c>
      <c r="K41">
        <v>4816653.97</v>
      </c>
      <c r="L41">
        <v>4394467.17</v>
      </c>
      <c r="M41">
        <v>3962088.71</v>
      </c>
      <c r="N41">
        <v>3529995.23</v>
      </c>
      <c r="O41">
        <v>3252118.58</v>
      </c>
      <c r="P41">
        <v>2969141.52</v>
      </c>
      <c r="Q41">
        <v>2691674.41</v>
      </c>
      <c r="R41">
        <v>2429776.35</v>
      </c>
      <c r="S41">
        <v>2198607.88</v>
      </c>
      <c r="T41">
        <v>1994635.64</v>
      </c>
      <c r="U41">
        <v>1816456.64</v>
      </c>
      <c r="V41">
        <v>1660360.16</v>
      </c>
      <c r="W41">
        <v>1522061.16</v>
      </c>
      <c r="X41">
        <v>1398540.02</v>
      </c>
      <c r="Y41">
        <v>1250225.74</v>
      </c>
      <c r="Z41">
        <v>1113665.6599999999</v>
      </c>
      <c r="AA41">
        <v>987275.39</v>
      </c>
      <c r="AB41">
        <v>869994.15999999992</v>
      </c>
      <c r="AC41">
        <v>759173.29</v>
      </c>
      <c r="AD41">
        <v>685050.82000000007</v>
      </c>
      <c r="AE41">
        <v>614517.52</v>
      </c>
      <c r="AF41">
        <v>546055.79</v>
      </c>
      <c r="AG41">
        <v>479054.11</v>
      </c>
      <c r="AH41">
        <v>412229.01699999999</v>
      </c>
      <c r="AK41" s="3" t="str">
        <f ca="1">INDIRECT(ADDRESS(41,2))</f>
        <v>Residential</v>
      </c>
      <c r="AL41" s="3">
        <f ca="1">INDIRECT(ADDRESS(41,3))</f>
        <v>9744535.1999999993</v>
      </c>
      <c r="AM41" s="4">
        <f ca="1">IFERROR(INDIRECT(ADDRESS(41,3)) / INDIRECT(ADDRESS(43,3)),0)</f>
        <v>9.1826148556746326E-2</v>
      </c>
      <c r="AN41" s="3">
        <f ca="1">INDIRECT(ADDRESS(41,9))</f>
        <v>5668250.4699999997</v>
      </c>
      <c r="AO41" s="4">
        <f ca="1">IFERROR(INDIRECT(ADDRESS(41,9)) / INDIRECT(ADDRESS(43,9)),0)</f>
        <v>7.4030718422166603E-2</v>
      </c>
      <c r="AP41" s="4">
        <f ca="1">IFERROR((INDIRECT(ADDRESS(41,9)) - INDIRECT(ADDRESS(41,3)))/ INDIRECT(ADDRESS(41,3)),1)</f>
        <v>-0.41831494743843706</v>
      </c>
      <c r="AQ41" s="3">
        <f ca="1">INDIRECT(ADDRESS(41,14))</f>
        <v>3529995.23</v>
      </c>
      <c r="AR41" s="4">
        <f ca="1">IFERROR(INDIRECT(ADDRESS(41,14)) / INDIRECT(ADDRESS(43,14)),0)</f>
        <v>6.5499456999372402E-2</v>
      </c>
      <c r="AS41" s="4">
        <f ca="1">IFERROR((INDIRECT(ADDRESS(41,14)) - INDIRECT(ADDRESS(41,3)))/ INDIRECT(ADDRESS(41,3)),1)</f>
        <v>-0.63774616669248618</v>
      </c>
      <c r="AT41" s="3">
        <f ca="1">INDIRECT(ADDRESS(41,19))</f>
        <v>2198607.88</v>
      </c>
      <c r="AU41" s="4">
        <f ca="1">IFERROR(INDIRECT(ADDRESS(41,19)) / INDIRECT(ADDRESS(43,19)),0)</f>
        <v>4.9074518783310574E-2</v>
      </c>
      <c r="AV41" s="4">
        <f ca="1">IFERROR((INDIRECT(ADDRESS(41,19)) - INDIRECT(ADDRESS(41,3)))/ INDIRECT(ADDRESS(41,3)),1)</f>
        <v>-0.77437529498585012</v>
      </c>
      <c r="AW41" s="3">
        <f ca="1">INDIRECT(ADDRESS(41,24))</f>
        <v>1398540.02</v>
      </c>
      <c r="AX41" s="4">
        <f ca="1">IFERROR(INDIRECT(ADDRESS(41,24)) / INDIRECT(ADDRESS(43,24)),0)</f>
        <v>3.6562705468720265E-2</v>
      </c>
      <c r="AY41" s="4">
        <f ca="1">IFERROR((INDIRECT(ADDRESS(41,24)) - INDIRECT(ADDRESS(41,3)))/ INDIRECT(ADDRESS(41,3)),1)</f>
        <v>-0.85647955584377189</v>
      </c>
      <c r="AZ41" s="3">
        <f ca="1">INDIRECT(ADDRESS(41,29))</f>
        <v>759173.29</v>
      </c>
      <c r="BA41" s="4">
        <f ca="1">IFERROR(INDIRECT(ADDRESS(41,29)) / INDIRECT(ADDRESS(43,29)),0)</f>
        <v>2.4134014514778146E-2</v>
      </c>
      <c r="BB41" s="4">
        <f ca="1">IFERROR((INDIRECT(ADDRESS(41,29)) - INDIRECT(ADDRESS(41,3)))/ INDIRECT(ADDRESS(41,3)),1)</f>
        <v>-0.92209240621348476</v>
      </c>
      <c r="BC41" s="3">
        <f ca="1">INDIRECT(ADDRESS(41,34))</f>
        <v>412229.01699999999</v>
      </c>
      <c r="BD41" s="4">
        <f ca="1">IFERROR(INDIRECT(ADDRESS(41,34)) / INDIRECT(ADDRESS(43,34)),0)</f>
        <v>1.5226608410858385E-2</v>
      </c>
      <c r="BE41" s="4">
        <f ca="1">IFERROR((INDIRECT(ADDRESS(41,34)) - INDIRECT(ADDRESS(41,3)))/ INDIRECT(ADDRESS(41,3)),1)</f>
        <v>-0.95769638997250472</v>
      </c>
    </row>
    <row r="42" spans="1:57" x14ac:dyDescent="0.25">
      <c r="A42" s="5"/>
      <c r="B42" s="1" t="s">
        <v>28</v>
      </c>
      <c r="C42">
        <v>48408352.039399996</v>
      </c>
      <c r="D42">
        <v>47678833.358999997</v>
      </c>
      <c r="E42">
        <v>46898817.90783</v>
      </c>
      <c r="F42">
        <v>45892703.836570002</v>
      </c>
      <c r="G42">
        <v>43608192.003300004</v>
      </c>
      <c r="H42">
        <v>41092124.535130002</v>
      </c>
      <c r="I42">
        <v>37840432.084959999</v>
      </c>
      <c r="J42">
        <v>35274190.519699998</v>
      </c>
      <c r="K42">
        <v>32706329.9254</v>
      </c>
      <c r="L42">
        <v>30201445.070300002</v>
      </c>
      <c r="M42">
        <v>27855983.595100001</v>
      </c>
      <c r="N42">
        <v>25790255.559799999</v>
      </c>
      <c r="O42">
        <v>24422863.928599998</v>
      </c>
      <c r="P42">
        <v>23211984.341400001</v>
      </c>
      <c r="Q42">
        <v>22095101.486200001</v>
      </c>
      <c r="R42">
        <v>20925206.192000002</v>
      </c>
      <c r="S42">
        <v>19913309.837699998</v>
      </c>
      <c r="T42">
        <v>18909288.7355</v>
      </c>
      <c r="U42">
        <v>17938603.168400001</v>
      </c>
      <c r="V42">
        <v>17024397.375100002</v>
      </c>
      <c r="W42">
        <v>16405086.9571</v>
      </c>
      <c r="X42">
        <v>15843746.437100001</v>
      </c>
      <c r="Y42">
        <v>15146210.6511</v>
      </c>
      <c r="Z42">
        <v>14520459.904100001</v>
      </c>
      <c r="AA42">
        <v>13965918.6281</v>
      </c>
      <c r="AB42">
        <v>13476214.7511</v>
      </c>
      <c r="AC42">
        <v>13041188.553099999</v>
      </c>
      <c r="AD42">
        <v>12675710.3391</v>
      </c>
      <c r="AE42">
        <v>12349584.6741</v>
      </c>
      <c r="AF42">
        <v>12055188.319399999</v>
      </c>
      <c r="AG42">
        <v>11786240.7118</v>
      </c>
      <c r="AH42">
        <v>11536972.4998</v>
      </c>
      <c r="AK42" s="3" t="str">
        <f ca="1">INDIRECT(ADDRESS(42,2))</f>
        <v>Transportation</v>
      </c>
      <c r="AL42" s="3">
        <f ca="1">INDIRECT(ADDRESS(42,3))</f>
        <v>48408352.039399996</v>
      </c>
      <c r="AM42" s="4">
        <f ca="1">IFERROR(INDIRECT(ADDRESS(42,3)) / INDIRECT(ADDRESS(43,3)),0)</f>
        <v>0.456168758645073</v>
      </c>
      <c r="AN42" s="3">
        <f ca="1">INDIRECT(ADDRESS(42,9))</f>
        <v>37840432.084959999</v>
      </c>
      <c r="AO42" s="4">
        <f ca="1">IFERROR(INDIRECT(ADDRESS(42,9)) / INDIRECT(ADDRESS(43,9)),0)</f>
        <v>0.49421852253730636</v>
      </c>
      <c r="AP42" s="4">
        <f ca="1">IFERROR((INDIRECT(ADDRESS(42,9)) - INDIRECT(ADDRESS(42,3)))/ INDIRECT(ADDRESS(42,3)),1)</f>
        <v>-0.21830778180258381</v>
      </c>
      <c r="AQ42" s="3">
        <f ca="1">INDIRECT(ADDRESS(42,14))</f>
        <v>25790255.559799999</v>
      </c>
      <c r="AR42" s="4">
        <f ca="1">IFERROR(INDIRECT(ADDRESS(42,14)) / INDIRECT(ADDRESS(43,14)),0)</f>
        <v>0.47854108149657332</v>
      </c>
      <c r="AS42" s="4">
        <f ca="1">IFERROR((INDIRECT(ADDRESS(42,14)) - INDIRECT(ADDRESS(42,3)))/ INDIRECT(ADDRESS(42,3)),1)</f>
        <v>-0.46723541551653985</v>
      </c>
      <c r="AT42" s="3">
        <f ca="1">INDIRECT(ADDRESS(42,19))</f>
        <v>19913309.837699998</v>
      </c>
      <c r="AU42" s="4">
        <f ca="1">IFERROR(INDIRECT(ADDRESS(42,19)) / INDIRECT(ADDRESS(43,19)),0)</f>
        <v>0.44447948474927318</v>
      </c>
      <c r="AV42" s="4">
        <f ca="1">IFERROR((INDIRECT(ADDRESS(42,19)) - INDIRECT(ADDRESS(42,3)))/ INDIRECT(ADDRESS(42,3)),1)</f>
        <v>-0.58863896417105099</v>
      </c>
      <c r="AW42" s="3">
        <f ca="1">INDIRECT(ADDRESS(42,24))</f>
        <v>15843746.437100001</v>
      </c>
      <c r="AX42" s="4">
        <f ca="1">IFERROR(INDIRECT(ADDRESS(42,24)) / INDIRECT(ADDRESS(43,24)),0)</f>
        <v>0.41421069559437668</v>
      </c>
      <c r="AY42" s="4">
        <f ca="1">IFERROR((INDIRECT(ADDRESS(42,24)) - INDIRECT(ADDRESS(42,3)))/ INDIRECT(ADDRESS(42,3)),1)</f>
        <v>-0.67270634571066101</v>
      </c>
      <c r="AZ42" s="3">
        <f ca="1">INDIRECT(ADDRESS(42,29))</f>
        <v>13041188.553099999</v>
      </c>
      <c r="BA42" s="4">
        <f ca="1">IFERROR(INDIRECT(ADDRESS(42,29)) / INDIRECT(ADDRESS(43,29)),0)</f>
        <v>0.41457759114585546</v>
      </c>
      <c r="BB42" s="4">
        <f ca="1">IFERROR((INDIRECT(ADDRESS(42,29)) - INDIRECT(ADDRESS(42,3)))/ INDIRECT(ADDRESS(42,3)),1)</f>
        <v>-0.73060044385552192</v>
      </c>
      <c r="BC42" s="3">
        <f ca="1">INDIRECT(ADDRESS(42,34))</f>
        <v>11536972.4998</v>
      </c>
      <c r="BD42" s="4">
        <f ca="1">IFERROR(INDIRECT(ADDRESS(42,34)) / INDIRECT(ADDRESS(43,34)),0)</f>
        <v>0.42614409771473361</v>
      </c>
      <c r="BE42" s="4">
        <f ca="1">IFERROR((INDIRECT(ADDRESS(42,34)) - INDIRECT(ADDRESS(42,3)))/ INDIRECT(ADDRESS(42,3)),1)</f>
        <v>-0.76167392580499438</v>
      </c>
    </row>
    <row r="43" spans="1:57" x14ac:dyDescent="0.25">
      <c r="A43" s="1" t="s">
        <v>21</v>
      </c>
      <c r="B43" s="1"/>
      <c r="C43">
        <v>106119393.58404119</v>
      </c>
      <c r="D43">
        <v>105308854.4726411</v>
      </c>
      <c r="E43">
        <v>104536704.84547099</v>
      </c>
      <c r="F43">
        <v>103524986.9762115</v>
      </c>
      <c r="G43">
        <v>99394126.579641223</v>
      </c>
      <c r="H43">
        <v>94812456.467271239</v>
      </c>
      <c r="I43">
        <v>76566195.638900995</v>
      </c>
      <c r="J43">
        <v>72489597.406441137</v>
      </c>
      <c r="K43">
        <v>68439396.983941048</v>
      </c>
      <c r="L43">
        <v>64462902.398641661</v>
      </c>
      <c r="M43">
        <v>60577604.5662416</v>
      </c>
      <c r="N43">
        <v>53893503.728341192</v>
      </c>
      <c r="O43">
        <v>51855978.320141397</v>
      </c>
      <c r="P43">
        <v>49973297.17194099</v>
      </c>
      <c r="Q43">
        <v>48194019.093841702</v>
      </c>
      <c r="R43">
        <v>46354500.315841094</v>
      </c>
      <c r="S43">
        <v>44801414.9605418</v>
      </c>
      <c r="T43">
        <v>43260948.198341787</v>
      </c>
      <c r="U43">
        <v>41778078.685341001</v>
      </c>
      <c r="V43">
        <v>40371041.998041093</v>
      </c>
      <c r="W43">
        <v>39251698.006241098</v>
      </c>
      <c r="X43">
        <v>38250452.2592417</v>
      </c>
      <c r="Y43">
        <v>36796736.744541697</v>
      </c>
      <c r="Z43">
        <v>35428353.448841497</v>
      </c>
      <c r="AA43">
        <v>34143512.780241787</v>
      </c>
      <c r="AB43">
        <v>32919978.6881418</v>
      </c>
      <c r="AC43">
        <v>31456568.8826917</v>
      </c>
      <c r="AD43">
        <v>30504104.960321099</v>
      </c>
      <c r="AE43">
        <v>29597878.281161301</v>
      </c>
      <c r="AF43">
        <v>28728625.9840919</v>
      </c>
      <c r="AG43">
        <v>27882920.0022314</v>
      </c>
      <c r="AH43">
        <v>27072937.444561299</v>
      </c>
    </row>
    <row r="44" spans="1:57" x14ac:dyDescent="0.25">
      <c r="A44" s="5" t="s">
        <v>4</v>
      </c>
      <c r="B44" s="1" t="s">
        <v>22</v>
      </c>
      <c r="C44">
        <v>378717.85989999998</v>
      </c>
      <c r="D44">
        <v>378717.85989999998</v>
      </c>
      <c r="E44">
        <v>378717.85989999998</v>
      </c>
      <c r="F44">
        <v>378717.85989999998</v>
      </c>
      <c r="G44">
        <v>378717.85989999998</v>
      </c>
      <c r="H44">
        <v>378717.85989999998</v>
      </c>
      <c r="I44">
        <v>378717.85989999998</v>
      </c>
      <c r="J44">
        <v>378717.85989999998</v>
      </c>
      <c r="K44">
        <v>378717.85989999998</v>
      </c>
      <c r="L44">
        <v>378717.85989999998</v>
      </c>
      <c r="M44">
        <v>378717.85989999998</v>
      </c>
      <c r="N44">
        <v>378717.85989999998</v>
      </c>
      <c r="O44">
        <v>378717.85989999998</v>
      </c>
      <c r="P44">
        <v>378717.85989999998</v>
      </c>
      <c r="Q44">
        <v>378717.85989999998</v>
      </c>
      <c r="R44">
        <v>378717.85989999998</v>
      </c>
      <c r="S44">
        <v>378717.85989999998</v>
      </c>
      <c r="T44">
        <v>378717.85989999998</v>
      </c>
      <c r="U44">
        <v>378717.85989999998</v>
      </c>
      <c r="V44">
        <v>378717.85989999998</v>
      </c>
      <c r="W44">
        <v>378717.85989999998</v>
      </c>
      <c r="X44">
        <v>378717.85989999998</v>
      </c>
      <c r="Y44">
        <v>378717.85989999998</v>
      </c>
      <c r="Z44">
        <v>378717.85989999998</v>
      </c>
      <c r="AA44">
        <v>378717.85989999998</v>
      </c>
      <c r="AB44">
        <v>378717.85989999998</v>
      </c>
      <c r="AC44">
        <v>378717.85989999998</v>
      </c>
      <c r="AD44">
        <v>378717.85989999998</v>
      </c>
      <c r="AE44">
        <v>378717.85989999998</v>
      </c>
      <c r="AF44">
        <v>378717.85989999998</v>
      </c>
      <c r="AG44">
        <v>378717.85989999998</v>
      </c>
      <c r="AH44">
        <v>378717.85989999998</v>
      </c>
      <c r="AK44" s="3" t="str">
        <f ca="1">INDIRECT(ADDRESS(44,2))</f>
        <v>Agriculture</v>
      </c>
      <c r="AL44" s="3">
        <f ca="1">INDIRECT(ADDRESS(44,3))</f>
        <v>378717.85989999998</v>
      </c>
      <c r="AM44" s="4">
        <f ca="1">IFERROR(INDIRECT(ADDRESS(44,3)) / INDIRECT(ADDRESS(51,3)),0)</f>
        <v>3.5687902758328015E-3</v>
      </c>
      <c r="AN44" s="3">
        <f ca="1">INDIRECT(ADDRESS(44,9))</f>
        <v>378717.85989999998</v>
      </c>
      <c r="AO44" s="4">
        <f ca="1">IFERROR(INDIRECT(ADDRESS(44,9)) / INDIRECT(ADDRESS(51,9)),0)</f>
        <v>3.6240115390141405E-3</v>
      </c>
      <c r="AP44" s="4">
        <f ca="1">IFERROR((INDIRECT(ADDRESS(44,9)) - INDIRECT(ADDRESS(44,3)))/ INDIRECT(ADDRESS(44,3)),1)</f>
        <v>0</v>
      </c>
      <c r="AQ44" s="3">
        <f ca="1">INDIRECT(ADDRESS(44,14))</f>
        <v>378717.85989999998</v>
      </c>
      <c r="AR44" s="4">
        <f ca="1">IFERROR(INDIRECT(ADDRESS(44,14)) / INDIRECT(ADDRESS(51,14)),0)</f>
        <v>3.7237024393229532E-3</v>
      </c>
      <c r="AS44" s="4">
        <f ca="1">IFERROR((INDIRECT(ADDRESS(44,14)) - INDIRECT(ADDRESS(44,3)))/ INDIRECT(ADDRESS(44,3)),1)</f>
        <v>0</v>
      </c>
      <c r="AT44" s="3">
        <f ca="1">INDIRECT(ADDRESS(44,19))</f>
        <v>378717.85989999998</v>
      </c>
      <c r="AU44" s="4">
        <f ca="1">IFERROR(INDIRECT(ADDRESS(44,19)) / INDIRECT(ADDRESS(51,19)),0)</f>
        <v>3.7236506880714538E-3</v>
      </c>
      <c r="AV44" s="4">
        <f ca="1">IFERROR((INDIRECT(ADDRESS(44,19)) - INDIRECT(ADDRESS(44,3)))/ INDIRECT(ADDRESS(44,3)),1)</f>
        <v>0</v>
      </c>
      <c r="AW44" s="3">
        <f ca="1">INDIRECT(ADDRESS(44,24))</f>
        <v>378717.85989999998</v>
      </c>
      <c r="AX44" s="4">
        <f ca="1">IFERROR(INDIRECT(ADDRESS(44,24)) / INDIRECT(ADDRESS(51,24)),0)</f>
        <v>3.7067331307962695E-3</v>
      </c>
      <c r="AY44" s="4">
        <f ca="1">IFERROR((INDIRECT(ADDRESS(44,24)) - INDIRECT(ADDRESS(44,3)))/ INDIRECT(ADDRESS(44,3)),1)</f>
        <v>0</v>
      </c>
      <c r="AZ44" s="3">
        <f ca="1">INDIRECT(ADDRESS(44,29))</f>
        <v>378717.85989999998</v>
      </c>
      <c r="BA44" s="4">
        <f ca="1">IFERROR(INDIRECT(ADDRESS(44,29)) / INDIRECT(ADDRESS(51,29)),0)</f>
        <v>3.6879903321838914E-3</v>
      </c>
      <c r="BB44" s="4">
        <f ca="1">IFERROR((INDIRECT(ADDRESS(44,29)) - INDIRECT(ADDRESS(44,3)))/ INDIRECT(ADDRESS(44,3)),1)</f>
        <v>0</v>
      </c>
      <c r="BC44" s="3">
        <f ca="1">INDIRECT(ADDRESS(44,34))</f>
        <v>378717.85989999998</v>
      </c>
      <c r="BD44" s="4">
        <f ca="1">IFERROR(INDIRECT(ADDRESS(44,34)) / INDIRECT(ADDRESS(51,34)),0)</f>
        <v>3.6592414362759508E-3</v>
      </c>
      <c r="BE44" s="4">
        <f ca="1">IFERROR((INDIRECT(ADDRESS(44,34)) - INDIRECT(ADDRESS(44,3)))/ INDIRECT(ADDRESS(44,3)),1)</f>
        <v>0</v>
      </c>
    </row>
    <row r="45" spans="1:57" x14ac:dyDescent="0.25">
      <c r="A45" s="5"/>
      <c r="B45" s="1" t="s">
        <v>23</v>
      </c>
      <c r="C45">
        <v>7899613.5607049996</v>
      </c>
      <c r="D45">
        <v>7927146.4158359999</v>
      </c>
      <c r="E45">
        <v>8033064.4075509999</v>
      </c>
      <c r="F45">
        <v>8143099.5672469996</v>
      </c>
      <c r="G45">
        <v>8253670.3929230003</v>
      </c>
      <c r="H45">
        <v>8363984.084582</v>
      </c>
      <c r="I45">
        <v>8475705.6432230007</v>
      </c>
      <c r="J45">
        <v>8496832.2242150009</v>
      </c>
      <c r="K45">
        <v>8518286.7802079991</v>
      </c>
      <c r="L45">
        <v>8539449.7112029996</v>
      </c>
      <c r="M45">
        <v>8560224.3161980007</v>
      </c>
      <c r="N45">
        <v>8580759.2971950006</v>
      </c>
      <c r="O45">
        <v>8585765.5791519992</v>
      </c>
      <c r="P45">
        <v>8590485.7541070003</v>
      </c>
      <c r="Q45">
        <v>8595802.6220619995</v>
      </c>
      <c r="R45">
        <v>8600952.2830159999</v>
      </c>
      <c r="S45">
        <v>8606250.0369700007</v>
      </c>
      <c r="T45">
        <v>8602538.8078450002</v>
      </c>
      <c r="U45">
        <v>8598699.9777189996</v>
      </c>
      <c r="V45">
        <v>8594770.5455929991</v>
      </c>
      <c r="W45">
        <v>8590779.2114659995</v>
      </c>
      <c r="X45">
        <v>8586710.1753380001</v>
      </c>
      <c r="Y45">
        <v>8592415.2693319991</v>
      </c>
      <c r="Z45">
        <v>8597943.6383250002</v>
      </c>
      <c r="AA45">
        <v>8603303.5813170001</v>
      </c>
      <c r="AB45">
        <v>8608514.2003070004</v>
      </c>
      <c r="AC45">
        <v>8613624.4942969996</v>
      </c>
      <c r="AD45">
        <v>8621838.3743249997</v>
      </c>
      <c r="AE45">
        <v>8629965.8273520004</v>
      </c>
      <c r="AF45">
        <v>8637998.3533779997</v>
      </c>
      <c r="AG45">
        <v>8645919.9524029996</v>
      </c>
      <c r="AH45">
        <v>8653700.0254260004</v>
      </c>
      <c r="AK45" s="3" t="str">
        <f ca="1">INDIRECT(ADDRESS(45,2))</f>
        <v>Commercial</v>
      </c>
      <c r="AL45" s="3">
        <f ca="1">INDIRECT(ADDRESS(45,3))</f>
        <v>7899613.5607049996</v>
      </c>
      <c r="AM45" s="4">
        <f ca="1">IFERROR(INDIRECT(ADDRESS(45,3)) / INDIRECT(ADDRESS(51,3)),0)</f>
        <v>7.4440809487371459E-2</v>
      </c>
      <c r="AN45" s="3">
        <f ca="1">INDIRECT(ADDRESS(45,9))</f>
        <v>8475705.6432230007</v>
      </c>
      <c r="AO45" s="4">
        <f ca="1">IFERROR(INDIRECT(ADDRESS(45,9)) / INDIRECT(ADDRESS(51,9)),0)</f>
        <v>8.1105377656173816E-2</v>
      </c>
      <c r="AP45" s="4">
        <f ca="1">IFERROR((INDIRECT(ADDRESS(45,9)) - INDIRECT(ADDRESS(45,3)))/ INDIRECT(ADDRESS(45,3)),1)</f>
        <v>7.2926615725059318E-2</v>
      </c>
      <c r="AQ45" s="3">
        <f ca="1">INDIRECT(ADDRESS(45,14))</f>
        <v>8580759.2971950006</v>
      </c>
      <c r="AR45" s="4">
        <f ca="1">IFERROR(INDIRECT(ADDRESS(45,14)) / INDIRECT(ADDRESS(51,14)),0)</f>
        <v>8.4369388691214811E-2</v>
      </c>
      <c r="AS45" s="4">
        <f ca="1">IFERROR((INDIRECT(ADDRESS(45,14)) - INDIRECT(ADDRESS(45,3)))/ INDIRECT(ADDRESS(45,3)),1)</f>
        <v>8.6225197125872094E-2</v>
      </c>
      <c r="AT45" s="3">
        <f ca="1">INDIRECT(ADDRESS(45,19))</f>
        <v>8606250.0369700007</v>
      </c>
      <c r="AU45" s="4">
        <f ca="1">IFERROR(INDIRECT(ADDRESS(45,19)) / INDIRECT(ADDRESS(51,19)),0)</f>
        <v>8.4618847604230246E-2</v>
      </c>
      <c r="AV45" s="4">
        <f ca="1">IFERROR((INDIRECT(ADDRESS(45,19)) - INDIRECT(ADDRESS(45,3)))/ INDIRECT(ADDRESS(45,3)),1)</f>
        <v>8.9452030891741169E-2</v>
      </c>
      <c r="AW45" s="3">
        <f ca="1">INDIRECT(ADDRESS(45,24))</f>
        <v>8586710.1753380001</v>
      </c>
      <c r="AX45" s="4">
        <f ca="1">IFERROR(INDIRECT(ADDRESS(45,24)) / INDIRECT(ADDRESS(51,24)),0)</f>
        <v>8.4043153126908576E-2</v>
      </c>
      <c r="AY45" s="4">
        <f ca="1">IFERROR((INDIRECT(ADDRESS(45,24)) - INDIRECT(ADDRESS(45,3)))/ INDIRECT(ADDRESS(45,3)),1)</f>
        <v>8.6978509689489253E-2</v>
      </c>
      <c r="AZ45" s="3">
        <f ca="1">INDIRECT(ADDRESS(45,29))</f>
        <v>8613624.4942969996</v>
      </c>
      <c r="BA45" s="4">
        <f ca="1">IFERROR(INDIRECT(ADDRESS(45,29)) / INDIRECT(ADDRESS(51,29)),0)</f>
        <v>8.3880289850649575E-2</v>
      </c>
      <c r="BB45" s="4">
        <f ca="1">IFERROR((INDIRECT(ADDRESS(45,29)) - INDIRECT(ADDRESS(45,3)))/ INDIRECT(ADDRESS(45,3)),1)</f>
        <v>9.0385552167222508E-2</v>
      </c>
      <c r="BC45" s="3">
        <f ca="1">INDIRECT(ADDRESS(45,34))</f>
        <v>8653700.0254260004</v>
      </c>
      <c r="BD45" s="4">
        <f ca="1">IFERROR(INDIRECT(ADDRESS(45,34)) / INDIRECT(ADDRESS(51,34)),0)</f>
        <v>8.3613637124223386E-2</v>
      </c>
      <c r="BE45" s="4">
        <f ca="1">IFERROR((INDIRECT(ADDRESS(45,34)) - INDIRECT(ADDRESS(45,3)))/ INDIRECT(ADDRESS(45,3)),1)</f>
        <v>9.5458652366496574E-2</v>
      </c>
    </row>
    <row r="46" spans="1:57" x14ac:dyDescent="0.25">
      <c r="A46" s="5"/>
      <c r="B46" s="1" t="s">
        <v>24</v>
      </c>
      <c r="C46">
        <v>18990147.210269999</v>
      </c>
      <c r="D46">
        <v>18990147.210269999</v>
      </c>
      <c r="E46">
        <v>18990147.210269999</v>
      </c>
      <c r="F46">
        <v>18990147.210269999</v>
      </c>
      <c r="G46">
        <v>18990147.210269999</v>
      </c>
      <c r="H46">
        <v>18990147.210269999</v>
      </c>
      <c r="I46">
        <v>18990147.210269999</v>
      </c>
      <c r="J46">
        <v>18990147.210269999</v>
      </c>
      <c r="K46">
        <v>18990147.210269999</v>
      </c>
      <c r="L46">
        <v>18990147.210269999</v>
      </c>
      <c r="M46">
        <v>18990147.210269999</v>
      </c>
      <c r="N46">
        <v>18990147.210269999</v>
      </c>
      <c r="O46">
        <v>18990147.210269999</v>
      </c>
      <c r="P46">
        <v>18990147.210269999</v>
      </c>
      <c r="Q46">
        <v>18990147.210269999</v>
      </c>
      <c r="R46">
        <v>18990147.210269999</v>
      </c>
      <c r="S46">
        <v>18990147.210269999</v>
      </c>
      <c r="T46">
        <v>18990147.210269999</v>
      </c>
      <c r="U46">
        <v>18990147.210269999</v>
      </c>
      <c r="V46">
        <v>18990147.210269999</v>
      </c>
      <c r="W46">
        <v>18990147.210269999</v>
      </c>
      <c r="X46">
        <v>18990147.210269999</v>
      </c>
      <c r="Y46">
        <v>18990147.210269999</v>
      </c>
      <c r="Z46">
        <v>18990147.210269999</v>
      </c>
      <c r="AA46">
        <v>18990147.210269999</v>
      </c>
      <c r="AB46">
        <v>18990147.210269999</v>
      </c>
      <c r="AC46">
        <v>18990147.210269999</v>
      </c>
      <c r="AD46">
        <v>18990147.210269999</v>
      </c>
      <c r="AE46">
        <v>18990147.210269999</v>
      </c>
      <c r="AF46">
        <v>18990147.210269999</v>
      </c>
      <c r="AG46">
        <v>18990147.210269999</v>
      </c>
      <c r="AH46">
        <v>18990147.210269999</v>
      </c>
      <c r="AK46" s="3" t="str">
        <f ca="1">INDIRECT(ADDRESS(46,2))</f>
        <v>Energy Production</v>
      </c>
      <c r="AL46" s="3">
        <f ca="1">INDIRECT(ADDRESS(46,3))</f>
        <v>18990147.210269999</v>
      </c>
      <c r="AM46" s="4">
        <f ca="1">IFERROR(INDIRECT(ADDRESS(46,3)) / INDIRECT(ADDRESS(51,3)),0)</f>
        <v>0.17895077015522862</v>
      </c>
      <c r="AN46" s="3">
        <f ca="1">INDIRECT(ADDRESS(46,9))</f>
        <v>18990147.210269999</v>
      </c>
      <c r="AO46" s="4">
        <f ca="1">IFERROR(INDIRECT(ADDRESS(46,9)) / INDIRECT(ADDRESS(51,9)),0)</f>
        <v>0.18171974418045045</v>
      </c>
      <c r="AP46" s="4">
        <f ca="1">IFERROR((INDIRECT(ADDRESS(46,9)) - INDIRECT(ADDRESS(46,3)))/ INDIRECT(ADDRESS(46,3)),1)</f>
        <v>0</v>
      </c>
      <c r="AQ46" s="3">
        <f ca="1">INDIRECT(ADDRESS(46,14))</f>
        <v>18990147.210269999</v>
      </c>
      <c r="AR46" s="4">
        <f ca="1">IFERROR(INDIRECT(ADDRESS(46,14)) / INDIRECT(ADDRESS(51,14)),0)</f>
        <v>0.18671857067595446</v>
      </c>
      <c r="AS46" s="4">
        <f ca="1">IFERROR((INDIRECT(ADDRESS(46,14)) - INDIRECT(ADDRESS(46,3)))/ INDIRECT(ADDRESS(46,3)),1)</f>
        <v>0</v>
      </c>
      <c r="AT46" s="3">
        <f ca="1">INDIRECT(ADDRESS(46,19))</f>
        <v>18990147.210269999</v>
      </c>
      <c r="AU46" s="4">
        <f ca="1">IFERROR(INDIRECT(ADDRESS(46,19)) / INDIRECT(ADDRESS(51,19)),0)</f>
        <v>0.18671597569961892</v>
      </c>
      <c r="AV46" s="4">
        <f ca="1">IFERROR((INDIRECT(ADDRESS(46,19)) - INDIRECT(ADDRESS(46,3)))/ INDIRECT(ADDRESS(46,3)),1)</f>
        <v>0</v>
      </c>
      <c r="AW46" s="3">
        <f ca="1">INDIRECT(ADDRESS(46,24))</f>
        <v>18990147.210269999</v>
      </c>
      <c r="AX46" s="4">
        <f ca="1">IFERROR(INDIRECT(ADDRESS(46,24)) / INDIRECT(ADDRESS(51,24)),0)</f>
        <v>0.18586767426704651</v>
      </c>
      <c r="AY46" s="4">
        <f ca="1">IFERROR((INDIRECT(ADDRESS(46,24)) - INDIRECT(ADDRESS(46,3)))/ INDIRECT(ADDRESS(46,3)),1)</f>
        <v>0</v>
      </c>
      <c r="AZ46" s="3">
        <f ca="1">INDIRECT(ADDRESS(46,29))</f>
        <v>18990147.210269999</v>
      </c>
      <c r="BA46" s="4">
        <f ca="1">IFERROR(INDIRECT(ADDRESS(46,29)) / INDIRECT(ADDRESS(51,29)),0)</f>
        <v>0.18492784928790379</v>
      </c>
      <c r="BB46" s="4">
        <f ca="1">IFERROR((INDIRECT(ADDRESS(46,29)) - INDIRECT(ADDRESS(46,3)))/ INDIRECT(ADDRESS(46,3)),1)</f>
        <v>0</v>
      </c>
      <c r="BC46" s="3">
        <f ca="1">INDIRECT(ADDRESS(46,34))</f>
        <v>18990147.210269999</v>
      </c>
      <c r="BD46" s="4">
        <f ca="1">IFERROR(INDIRECT(ADDRESS(46,34)) / INDIRECT(ADDRESS(51,34)),0)</f>
        <v>0.18348628599440428</v>
      </c>
      <c r="BE46" s="4">
        <f ca="1">IFERROR((INDIRECT(ADDRESS(46,34)) - INDIRECT(ADDRESS(46,3)))/ INDIRECT(ADDRESS(46,3)),1)</f>
        <v>0</v>
      </c>
    </row>
    <row r="47" spans="1:57" x14ac:dyDescent="0.25">
      <c r="A47" s="5"/>
      <c r="B47" s="1" t="s">
        <v>25</v>
      </c>
      <c r="C47">
        <v>221100.7</v>
      </c>
      <c r="D47">
        <v>221231.2</v>
      </c>
      <c r="E47">
        <v>221445.5</v>
      </c>
      <c r="F47">
        <v>221824.6</v>
      </c>
      <c r="G47">
        <v>222191.6</v>
      </c>
      <c r="H47">
        <v>222536</v>
      </c>
      <c r="I47">
        <v>222860.79999999999</v>
      </c>
      <c r="J47">
        <v>222852.2</v>
      </c>
      <c r="K47">
        <v>222850.9</v>
      </c>
      <c r="L47">
        <v>222879.7</v>
      </c>
      <c r="M47">
        <v>222950.8</v>
      </c>
      <c r="N47">
        <v>223057.8</v>
      </c>
      <c r="O47">
        <v>223131.1</v>
      </c>
      <c r="P47">
        <v>223184.5</v>
      </c>
      <c r="Q47">
        <v>223203</v>
      </c>
      <c r="R47">
        <v>223191.1</v>
      </c>
      <c r="S47">
        <v>223161.7</v>
      </c>
      <c r="T47">
        <v>223077.4</v>
      </c>
      <c r="U47">
        <v>222989.8</v>
      </c>
      <c r="V47">
        <v>222899.8</v>
      </c>
      <c r="W47">
        <v>222807.8</v>
      </c>
      <c r="X47">
        <v>222713.60000000001</v>
      </c>
      <c r="Y47">
        <v>222584.5</v>
      </c>
      <c r="Z47">
        <v>222453</v>
      </c>
      <c r="AA47">
        <v>222319.2</v>
      </c>
      <c r="AB47">
        <v>222183.1</v>
      </c>
      <c r="AC47">
        <v>222047.2</v>
      </c>
      <c r="AD47">
        <v>221879.9</v>
      </c>
      <c r="AE47">
        <v>221714</v>
      </c>
      <c r="AF47">
        <v>221548.6</v>
      </c>
      <c r="AG47">
        <v>221381.8</v>
      </c>
      <c r="AH47">
        <v>221213.5</v>
      </c>
      <c r="AK47" s="3" t="str">
        <f ca="1">INDIRECT(ADDRESS(47,2))</f>
        <v>Fugitive</v>
      </c>
      <c r="AL47" s="3">
        <f ca="1">INDIRECT(ADDRESS(47,3))</f>
        <v>221100.7</v>
      </c>
      <c r="AM47" s="4">
        <f ca="1">IFERROR(INDIRECT(ADDRESS(47,3)) / INDIRECT(ADDRESS(51,3)),0)</f>
        <v>2.0835088906242141E-3</v>
      </c>
      <c r="AN47" s="3">
        <f ca="1">INDIRECT(ADDRESS(47,9))</f>
        <v>222860.79999999999</v>
      </c>
      <c r="AO47" s="4">
        <f ca="1">IFERROR(INDIRECT(ADDRESS(47,9)) / INDIRECT(ADDRESS(51,9)),0)</f>
        <v>2.1325905015601365E-3</v>
      </c>
      <c r="AP47" s="4">
        <f ca="1">IFERROR((INDIRECT(ADDRESS(47,9)) - INDIRECT(ADDRESS(47,3)))/ INDIRECT(ADDRESS(47,3)),1)</f>
        <v>7.960626085760817E-3</v>
      </c>
      <c r="AQ47" s="3">
        <f ca="1">INDIRECT(ADDRESS(47,14))</f>
        <v>223057.8</v>
      </c>
      <c r="AR47" s="4">
        <f ca="1">IFERROR(INDIRECT(ADDRESS(47,14)) / INDIRECT(ADDRESS(51,14)),0)</f>
        <v>2.1931917184717154E-3</v>
      </c>
      <c r="AS47" s="4">
        <f ca="1">IFERROR((INDIRECT(ADDRESS(47,14)) - INDIRECT(ADDRESS(47,3)))/ INDIRECT(ADDRESS(47,3)),1)</f>
        <v>8.8516228125916224E-3</v>
      </c>
      <c r="AT47" s="3">
        <f ca="1">INDIRECT(ADDRESS(47,19))</f>
        <v>223161.7</v>
      </c>
      <c r="AU47" s="4">
        <f ca="1">IFERROR(INDIRECT(ADDRESS(47,19)) / INDIRECT(ADDRESS(51,19)),0)</f>
        <v>2.1941828092702405E-3</v>
      </c>
      <c r="AV47" s="4">
        <f ca="1">IFERROR((INDIRECT(ADDRESS(47,19)) - INDIRECT(ADDRESS(47,3)))/ INDIRECT(ADDRESS(47,3)),1)</f>
        <v>9.3215444365395486E-3</v>
      </c>
      <c r="AW47" s="3">
        <f ca="1">INDIRECT(ADDRESS(47,24))</f>
        <v>222713.60000000001</v>
      </c>
      <c r="AX47" s="4">
        <f ca="1">IFERROR(INDIRECT(ADDRESS(47,24)) / INDIRECT(ADDRESS(51,24)),0)</f>
        <v>2.1798282236197967E-3</v>
      </c>
      <c r="AY47" s="4">
        <f ca="1">IFERROR((INDIRECT(ADDRESS(47,24)) - INDIRECT(ADDRESS(47,3)))/ INDIRECT(ADDRESS(47,3)),1)</f>
        <v>7.2948660949512783E-3</v>
      </c>
      <c r="AZ47" s="3">
        <f ca="1">INDIRECT(ADDRESS(47,29))</f>
        <v>222047.2</v>
      </c>
      <c r="BA47" s="4">
        <f ca="1">IFERROR(INDIRECT(ADDRESS(47,29)) / INDIRECT(ADDRESS(51,29)),0)</f>
        <v>2.1623166309207987E-3</v>
      </c>
      <c r="BB47" s="4">
        <f ca="1">IFERROR((INDIRECT(ADDRESS(47,29)) - INDIRECT(ADDRESS(47,3)))/ INDIRECT(ADDRESS(47,3)),1)</f>
        <v>4.2808548322099387E-3</v>
      </c>
      <c r="BC47" s="3">
        <f ca="1">INDIRECT(ADDRESS(47,34))</f>
        <v>221213.5</v>
      </c>
      <c r="BD47" s="4">
        <f ca="1">IFERROR(INDIRECT(ADDRESS(47,34)) / INDIRECT(ADDRESS(51,34)),0)</f>
        <v>2.1374054175247255E-3</v>
      </c>
      <c r="BE47" s="4">
        <f ca="1">IFERROR((INDIRECT(ADDRESS(47,34)) - INDIRECT(ADDRESS(47,3)))/ INDIRECT(ADDRESS(47,3)),1)</f>
        <v>5.1017477556601295E-4</v>
      </c>
    </row>
    <row r="48" spans="1:57" x14ac:dyDescent="0.25">
      <c r="A48" s="5"/>
      <c r="B48" s="1" t="s">
        <v>26</v>
      </c>
      <c r="C48">
        <v>20476927.013766222</v>
      </c>
      <c r="D48">
        <v>20482555.933635291</v>
      </c>
      <c r="E48">
        <v>20492412.71292026</v>
      </c>
      <c r="F48">
        <v>20503878.1222247</v>
      </c>
      <c r="G48">
        <v>20515500.591547921</v>
      </c>
      <c r="H48">
        <v>20526971.22088927</v>
      </c>
      <c r="I48">
        <v>20538928.820248101</v>
      </c>
      <c r="J48">
        <v>20552236.420256268</v>
      </c>
      <c r="K48">
        <v>20565609.970263168</v>
      </c>
      <c r="L48">
        <v>20578814.88026882</v>
      </c>
      <c r="M48">
        <v>20591816.13027323</v>
      </c>
      <c r="N48">
        <v>20604670.730276451</v>
      </c>
      <c r="O48">
        <v>20626660.140319739</v>
      </c>
      <c r="P48">
        <v>20648585.82036392</v>
      </c>
      <c r="Q48">
        <v>20670775.820408989</v>
      </c>
      <c r="R48">
        <v>20692947.720454961</v>
      </c>
      <c r="S48">
        <v>20715218.24050181</v>
      </c>
      <c r="T48">
        <v>20747912.880626541</v>
      </c>
      <c r="U48">
        <v>20780597.040752038</v>
      </c>
      <c r="V48">
        <v>20813286.49087831</v>
      </c>
      <c r="W48">
        <v>20845991.681005351</v>
      </c>
      <c r="X48">
        <v>20878705.561133169</v>
      </c>
      <c r="Y48">
        <v>20898057.13113939</v>
      </c>
      <c r="Z48">
        <v>20917386.411146611</v>
      </c>
      <c r="AA48">
        <v>20936695.441154841</v>
      </c>
      <c r="AB48">
        <v>20955988.571164072</v>
      </c>
      <c r="AC48">
        <v>20975289.241174299</v>
      </c>
      <c r="AD48">
        <v>20984589.711146072</v>
      </c>
      <c r="AE48">
        <v>20993903.01111906</v>
      </c>
      <c r="AF48">
        <v>21003224.781093251</v>
      </c>
      <c r="AG48">
        <v>21012548.65106865</v>
      </c>
      <c r="AH48">
        <v>21021863.971045248</v>
      </c>
      <c r="AK48" s="3" t="str">
        <f ca="1">INDIRECT(ADDRESS(48,2))</f>
        <v>Industrial</v>
      </c>
      <c r="AL48" s="3">
        <f ca="1">INDIRECT(ADDRESS(48,3))</f>
        <v>20476927.013766222</v>
      </c>
      <c r="AM48" s="4">
        <f ca="1">IFERROR(INDIRECT(ADDRESS(48,3)) / INDIRECT(ADDRESS(51,3)),0)</f>
        <v>0.19296121398912378</v>
      </c>
      <c r="AN48" s="3">
        <f ca="1">INDIRECT(ADDRESS(48,9))</f>
        <v>20538928.820248101</v>
      </c>
      <c r="AO48" s="4">
        <f ca="1">IFERROR(INDIRECT(ADDRESS(48,9)) / INDIRECT(ADDRESS(51,9)),0)</f>
        <v>0.19654028215945041</v>
      </c>
      <c r="AP48" s="4">
        <f ca="1">IFERROR((INDIRECT(ADDRESS(48,9)) - INDIRECT(ADDRESS(48,3)))/ INDIRECT(ADDRESS(48,3)),1)</f>
        <v>3.0278862858766184E-3</v>
      </c>
      <c r="AQ48" s="3">
        <f ca="1">INDIRECT(ADDRESS(48,14))</f>
        <v>20604670.730276451</v>
      </c>
      <c r="AR48" s="4">
        <f ca="1">IFERROR(INDIRECT(ADDRESS(48,14)) / INDIRECT(ADDRESS(51,14)),0)</f>
        <v>0.20259319874704615</v>
      </c>
      <c r="AS48" s="4">
        <f ca="1">IFERROR((INDIRECT(ADDRESS(48,14)) - INDIRECT(ADDRESS(48,3)))/ INDIRECT(ADDRESS(48,3)),1)</f>
        <v>6.2384222214763628E-3</v>
      </c>
      <c r="AT48" s="3">
        <f ca="1">INDIRECT(ADDRESS(48,19))</f>
        <v>20715218.24050181</v>
      </c>
      <c r="AU48" s="4">
        <f ca="1">IFERROR(INDIRECT(ADDRESS(48,19)) / INDIRECT(ADDRESS(51,19)),0)</f>
        <v>0.20367731449254237</v>
      </c>
      <c r="AV48" s="4">
        <f ca="1">IFERROR((INDIRECT(ADDRESS(48,19)) - INDIRECT(ADDRESS(48,3)))/ INDIRECT(ADDRESS(48,3)),1)</f>
        <v>1.1637059924830996E-2</v>
      </c>
      <c r="AW48" s="3">
        <f ca="1">INDIRECT(ADDRESS(48,24))</f>
        <v>20878705.561133169</v>
      </c>
      <c r="AX48" s="4">
        <f ca="1">IFERROR(INDIRECT(ADDRESS(48,24)) / INDIRECT(ADDRESS(51,24)),0)</f>
        <v>0.20435209908512855</v>
      </c>
      <c r="AY48" s="4">
        <f ca="1">IFERROR((INDIRECT(ADDRESS(48,24)) - INDIRECT(ADDRESS(48,3)))/ INDIRECT(ADDRESS(48,3)),1)</f>
        <v>1.9621037233606361E-2</v>
      </c>
      <c r="AZ48" s="3">
        <f ca="1">INDIRECT(ADDRESS(48,29))</f>
        <v>20975289.241174299</v>
      </c>
      <c r="BA48" s="4">
        <f ca="1">IFERROR(INDIRECT(ADDRESS(48,29)) / INDIRECT(ADDRESS(51,29)),0)</f>
        <v>0.20425935010468624</v>
      </c>
      <c r="BB48" s="4">
        <f ca="1">IFERROR((INDIRECT(ADDRESS(48,29)) - INDIRECT(ADDRESS(48,3)))/ INDIRECT(ADDRESS(48,3)),1)</f>
        <v>2.4337744968912511E-2</v>
      </c>
      <c r="BC48" s="3">
        <f ca="1">INDIRECT(ADDRESS(48,34))</f>
        <v>21021863.971045248</v>
      </c>
      <c r="BD48" s="4">
        <f ca="1">IFERROR(INDIRECT(ADDRESS(48,34)) / INDIRECT(ADDRESS(51,34)),0)</f>
        <v>0.20311710604542652</v>
      </c>
      <c r="BE48" s="4">
        <f ca="1">IFERROR((INDIRECT(ADDRESS(48,34)) - INDIRECT(ADDRESS(48,3)))/ INDIRECT(ADDRESS(48,3)),1)</f>
        <v>2.6612242985125475E-2</v>
      </c>
    </row>
    <row r="49" spans="1:57" x14ac:dyDescent="0.25">
      <c r="A49" s="5"/>
      <c r="B49" s="1" t="s">
        <v>27</v>
      </c>
      <c r="C49">
        <v>9744535.1999999993</v>
      </c>
      <c r="D49">
        <v>9788085.8000000007</v>
      </c>
      <c r="E49">
        <v>9811275.8000000007</v>
      </c>
      <c r="F49">
        <v>9871271.5999999996</v>
      </c>
      <c r="G49">
        <v>9933667.0999999996</v>
      </c>
      <c r="H49">
        <v>9995849.5</v>
      </c>
      <c r="I49">
        <v>10058882.4</v>
      </c>
      <c r="J49">
        <v>10099858.6</v>
      </c>
      <c r="K49">
        <v>10142002.6</v>
      </c>
      <c r="L49">
        <v>10186157.9</v>
      </c>
      <c r="M49">
        <v>10232754.1</v>
      </c>
      <c r="N49">
        <v>10281691.699999999</v>
      </c>
      <c r="O49">
        <v>10322923.800000001</v>
      </c>
      <c r="P49">
        <v>10363176.9</v>
      </c>
      <c r="Q49">
        <v>10402228.300000001</v>
      </c>
      <c r="R49">
        <v>10439453.9</v>
      </c>
      <c r="S49">
        <v>10475854.6</v>
      </c>
      <c r="T49">
        <v>10501065.300000001</v>
      </c>
      <c r="U49">
        <v>10525968.300000001</v>
      </c>
      <c r="V49">
        <v>10550669.300000001</v>
      </c>
      <c r="W49">
        <v>10575213.699999999</v>
      </c>
      <c r="X49">
        <v>10599589.9</v>
      </c>
      <c r="Y49">
        <v>10618103.5</v>
      </c>
      <c r="Z49">
        <v>10636400.199999999</v>
      </c>
      <c r="AA49">
        <v>10654486.6</v>
      </c>
      <c r="AB49">
        <v>10672409.4</v>
      </c>
      <c r="AC49">
        <v>10690588.9</v>
      </c>
      <c r="AD49">
        <v>10704730.800000001</v>
      </c>
      <c r="AE49">
        <v>10719425.699999999</v>
      </c>
      <c r="AF49">
        <v>10734505.1</v>
      </c>
      <c r="AG49">
        <v>10749671.4</v>
      </c>
      <c r="AH49">
        <v>10764819.800000001</v>
      </c>
      <c r="AK49" s="3" t="str">
        <f ca="1">INDIRECT(ADDRESS(49,2))</f>
        <v>Residential</v>
      </c>
      <c r="AL49" s="3">
        <f ca="1">INDIRECT(ADDRESS(49,3))</f>
        <v>9744535.1999999993</v>
      </c>
      <c r="AM49" s="4">
        <f ca="1">IFERROR(INDIRECT(ADDRESS(49,3)) / INDIRECT(ADDRESS(51,3)),0)</f>
        <v>9.1826148556746326E-2</v>
      </c>
      <c r="AN49" s="3">
        <f ca="1">INDIRECT(ADDRESS(49,9))</f>
        <v>10058882.4</v>
      </c>
      <c r="AO49" s="4">
        <f ca="1">IFERROR(INDIRECT(ADDRESS(49,9)) / INDIRECT(ADDRESS(51,9)),0)</f>
        <v>9.6255048274754618E-2</v>
      </c>
      <c r="AP49" s="4">
        <f ca="1">IFERROR((INDIRECT(ADDRESS(49,9)) - INDIRECT(ADDRESS(49,3)))/ INDIRECT(ADDRESS(49,3)),1)</f>
        <v>3.2258819281601153E-2</v>
      </c>
      <c r="AQ49" s="3">
        <f ca="1">INDIRECT(ADDRESS(49,14))</f>
        <v>10281691.699999999</v>
      </c>
      <c r="AR49" s="4">
        <f ca="1">IFERROR(INDIRECT(ADDRESS(49,14)) / INDIRECT(ADDRESS(51,14)),0)</f>
        <v>0.10109362276647298</v>
      </c>
      <c r="AS49" s="4">
        <f ca="1">IFERROR((INDIRECT(ADDRESS(49,14)) - INDIRECT(ADDRESS(49,3)))/ INDIRECT(ADDRESS(49,3)),1)</f>
        <v>5.5123870864564176E-2</v>
      </c>
      <c r="AT49" s="3">
        <f ca="1">INDIRECT(ADDRESS(49,19))</f>
        <v>10475854.6</v>
      </c>
      <c r="AU49" s="4">
        <f ca="1">IFERROR(INDIRECT(ADDRESS(49,19)) / INDIRECT(ADDRESS(51,19)),0)</f>
        <v>0.1030012769921298</v>
      </c>
      <c r="AV49" s="4">
        <f ca="1">IFERROR((INDIRECT(ADDRESS(49,19)) - INDIRECT(ADDRESS(49,3)))/ INDIRECT(ADDRESS(49,3)),1)</f>
        <v>7.5049182438173184E-2</v>
      </c>
      <c r="AW49" s="3">
        <f ca="1">INDIRECT(ADDRESS(49,24))</f>
        <v>10599589.9</v>
      </c>
      <c r="AX49" s="4">
        <f ca="1">IFERROR(INDIRECT(ADDRESS(49,24)) / INDIRECT(ADDRESS(51,24)),0)</f>
        <v>0.10374438392094304</v>
      </c>
      <c r="AY49" s="4">
        <f ca="1">IFERROR((INDIRECT(ADDRESS(49,24)) - INDIRECT(ADDRESS(49,3)))/ INDIRECT(ADDRESS(49,3)),1)</f>
        <v>8.7747099523023037E-2</v>
      </c>
      <c r="AZ49" s="3">
        <f ca="1">INDIRECT(ADDRESS(49,29))</f>
        <v>10690588.9</v>
      </c>
      <c r="BA49" s="4">
        <f ca="1">IFERROR(INDIRECT(ADDRESS(49,29)) / INDIRECT(ADDRESS(51,29)),0)</f>
        <v>0.10410596563616785</v>
      </c>
      <c r="BB49" s="4">
        <f ca="1">IFERROR((INDIRECT(ADDRESS(49,29)) - INDIRECT(ADDRESS(49,3)))/ INDIRECT(ADDRESS(49,3)),1)</f>
        <v>9.7085564429999827E-2</v>
      </c>
      <c r="BC49" s="3">
        <f ca="1">INDIRECT(ADDRESS(49,34))</f>
        <v>10764819.800000001</v>
      </c>
      <c r="BD49" s="4">
        <f ca="1">IFERROR(INDIRECT(ADDRESS(49,34)) / INDIRECT(ADDRESS(51,34)),0)</f>
        <v>0.10401166366066011</v>
      </c>
      <c r="BE49" s="4">
        <f ca="1">IFERROR((INDIRECT(ADDRESS(49,34)) - INDIRECT(ADDRESS(49,3)))/ INDIRECT(ADDRESS(49,3)),1)</f>
        <v>0.10470325973064386</v>
      </c>
    </row>
    <row r="50" spans="1:57" x14ac:dyDescent="0.25">
      <c r="A50" s="5"/>
      <c r="B50" s="1" t="s">
        <v>28</v>
      </c>
      <c r="C50">
        <v>48408352.039399996</v>
      </c>
      <c r="D50">
        <v>47832788.517999999</v>
      </c>
      <c r="E50">
        <v>47836359.784999996</v>
      </c>
      <c r="F50">
        <v>47602319.663000003</v>
      </c>
      <c r="G50">
        <v>47441503.395000003</v>
      </c>
      <c r="H50">
        <v>47044737.784999996</v>
      </c>
      <c r="I50">
        <v>45837145.248000003</v>
      </c>
      <c r="J50">
        <v>45157243.733999997</v>
      </c>
      <c r="K50">
        <v>44415183.627999999</v>
      </c>
      <c r="L50">
        <v>43678880.251000002</v>
      </c>
      <c r="M50">
        <v>43032389.478</v>
      </c>
      <c r="N50">
        <v>42645607.175999999</v>
      </c>
      <c r="O50">
        <v>42425168.980999999</v>
      </c>
      <c r="P50">
        <v>42359890.607000001</v>
      </c>
      <c r="Q50">
        <v>42368741.718999997</v>
      </c>
      <c r="R50">
        <v>42259676.886999987</v>
      </c>
      <c r="S50">
        <v>42316715.615999997</v>
      </c>
      <c r="T50">
        <v>42331435.684</v>
      </c>
      <c r="U50">
        <v>42344629.468999997</v>
      </c>
      <c r="V50">
        <v>42370842.994000003</v>
      </c>
      <c r="W50">
        <v>42428402.395000003</v>
      </c>
      <c r="X50">
        <v>42513668.186999999</v>
      </c>
      <c r="Y50">
        <v>42579962.579000004</v>
      </c>
      <c r="Z50">
        <v>42637772.399999999</v>
      </c>
      <c r="AA50">
        <v>42691147.498000003</v>
      </c>
      <c r="AB50">
        <v>42749299.380000003</v>
      </c>
      <c r="AC50">
        <v>42819078.772</v>
      </c>
      <c r="AD50">
        <v>42907299.425999999</v>
      </c>
      <c r="AE50">
        <v>43017187.534999996</v>
      </c>
      <c r="AF50">
        <v>43149860.574000001</v>
      </c>
      <c r="AG50">
        <v>43302895.479000002</v>
      </c>
      <c r="AH50">
        <v>43465813.158</v>
      </c>
      <c r="AK50" s="3" t="str">
        <f ca="1">INDIRECT(ADDRESS(50,2))</f>
        <v>Transportation</v>
      </c>
      <c r="AL50" s="3">
        <f ca="1">INDIRECT(ADDRESS(50,3))</f>
        <v>48408352.039399996</v>
      </c>
      <c r="AM50" s="4">
        <f ca="1">IFERROR(INDIRECT(ADDRESS(50,3)) / INDIRECT(ADDRESS(51,3)),0)</f>
        <v>0.456168758645073</v>
      </c>
      <c r="AN50" s="3">
        <f ca="1">INDIRECT(ADDRESS(50,9))</f>
        <v>45837145.248000003</v>
      </c>
      <c r="AO50" s="4">
        <f ca="1">IFERROR(INDIRECT(ADDRESS(50,9)) / INDIRECT(ADDRESS(51,9)),0)</f>
        <v>0.4386229456885965</v>
      </c>
      <c r="AP50" s="4">
        <f ca="1">IFERROR((INDIRECT(ADDRESS(50,9)) - INDIRECT(ADDRESS(50,3)))/ INDIRECT(ADDRESS(50,3)),1)</f>
        <v>-5.3114941597418239E-2</v>
      </c>
      <c r="AQ50" s="3">
        <f ca="1">INDIRECT(ADDRESS(50,14))</f>
        <v>42645607.175999999</v>
      </c>
      <c r="AR50" s="4">
        <f ca="1">IFERROR(INDIRECT(ADDRESS(50,14)) / INDIRECT(ADDRESS(51,14)),0)</f>
        <v>0.41930832496151749</v>
      </c>
      <c r="AS50" s="4">
        <f ca="1">IFERROR((INDIRECT(ADDRESS(50,14)) - INDIRECT(ADDRESS(50,3)))/ INDIRECT(ADDRESS(50,3)),1)</f>
        <v>-0.11904443387598998</v>
      </c>
      <c r="AT50" s="3">
        <f ca="1">INDIRECT(ADDRESS(50,19))</f>
        <v>42316715.615999997</v>
      </c>
      <c r="AU50" s="4">
        <f ca="1">IFERROR(INDIRECT(ADDRESS(50,19)) / INDIRECT(ADDRESS(51,19)),0)</f>
        <v>0.41606875171413699</v>
      </c>
      <c r="AV50" s="4">
        <f ca="1">IFERROR((INDIRECT(ADDRESS(50,19)) - INDIRECT(ADDRESS(50,3)))/ INDIRECT(ADDRESS(50,3)),1)</f>
        <v>-0.12583854163103841</v>
      </c>
      <c r="AW50" s="3">
        <f ca="1">INDIRECT(ADDRESS(50,24))</f>
        <v>42513668.186999999</v>
      </c>
      <c r="AX50" s="4">
        <f ca="1">IFERROR(INDIRECT(ADDRESS(50,24)) / INDIRECT(ADDRESS(51,24)),0)</f>
        <v>0.41610612824555693</v>
      </c>
      <c r="AY50" s="4">
        <f ca="1">IFERROR((INDIRECT(ADDRESS(50,24)) - INDIRECT(ADDRESS(50,3)))/ INDIRECT(ADDRESS(50,3)),1)</f>
        <v>-0.12176997571828641</v>
      </c>
      <c r="AZ50" s="3">
        <f ca="1">INDIRECT(ADDRESS(50,29))</f>
        <v>42819078.772</v>
      </c>
      <c r="BA50" s="4">
        <f ca="1">IFERROR(INDIRECT(ADDRESS(50,29)) / INDIRECT(ADDRESS(51,29)),0)</f>
        <v>0.4169762381574878</v>
      </c>
      <c r="BB50" s="4">
        <f ca="1">IFERROR((INDIRECT(ADDRESS(50,29)) - INDIRECT(ADDRESS(50,3)))/ INDIRECT(ADDRESS(50,3)),1)</f>
        <v>-0.11546092837142724</v>
      </c>
      <c r="BC50" s="3">
        <f ca="1">INDIRECT(ADDRESS(50,34))</f>
        <v>43465813.158</v>
      </c>
      <c r="BD50" s="4">
        <f ca="1">IFERROR(INDIRECT(ADDRESS(50,34)) / INDIRECT(ADDRESS(51,34)),0)</f>
        <v>0.41997466032148445</v>
      </c>
      <c r="BE50" s="4">
        <f ca="1">IFERROR((INDIRECT(ADDRESS(50,34)) - INDIRECT(ADDRESS(50,3)))/ INDIRECT(ADDRESS(50,3)),1)</f>
        <v>-0.10210095310365491</v>
      </c>
    </row>
    <row r="51" spans="1:57" x14ac:dyDescent="0.25">
      <c r="A51" s="1" t="s">
        <v>21</v>
      </c>
      <c r="B51" s="1"/>
      <c r="C51">
        <v>106119393.58404119</v>
      </c>
      <c r="D51">
        <v>105620672.93764129</v>
      </c>
      <c r="E51">
        <v>105763423.27564131</v>
      </c>
      <c r="F51">
        <v>105711258.6226417</v>
      </c>
      <c r="G51">
        <v>105735398.1496409</v>
      </c>
      <c r="H51">
        <v>105522943.6606413</v>
      </c>
      <c r="I51">
        <v>104502387.9816411</v>
      </c>
      <c r="J51">
        <v>103897888.2486413</v>
      </c>
      <c r="K51">
        <v>103232798.9486412</v>
      </c>
      <c r="L51">
        <v>102575047.5126418</v>
      </c>
      <c r="M51">
        <v>102008999.89464121</v>
      </c>
      <c r="N51">
        <v>101704651.77364139</v>
      </c>
      <c r="O51">
        <v>101552514.67064171</v>
      </c>
      <c r="P51">
        <v>101554188.65164091</v>
      </c>
      <c r="Q51">
        <v>101629616.53164101</v>
      </c>
      <c r="R51">
        <v>101585086.960641</v>
      </c>
      <c r="S51">
        <v>101706065.2636418</v>
      </c>
      <c r="T51">
        <v>101774895.1426415</v>
      </c>
      <c r="U51">
        <v>101841749.65764099</v>
      </c>
      <c r="V51">
        <v>101921334.2006413</v>
      </c>
      <c r="W51">
        <v>102032059.85764129</v>
      </c>
      <c r="X51">
        <v>102170252.4936412</v>
      </c>
      <c r="Y51">
        <v>102279988.0496414</v>
      </c>
      <c r="Z51">
        <v>102380820.7196416</v>
      </c>
      <c r="AA51">
        <v>102476817.39064179</v>
      </c>
      <c r="AB51">
        <v>102577259.72164109</v>
      </c>
      <c r="AC51">
        <v>102689493.6776413</v>
      </c>
      <c r="AD51">
        <v>102809203.2816411</v>
      </c>
      <c r="AE51">
        <v>102951061.1436411</v>
      </c>
      <c r="AF51">
        <v>103116002.4786412</v>
      </c>
      <c r="AG51">
        <v>103301282.3526416</v>
      </c>
      <c r="AH51">
        <v>103496275.52464131</v>
      </c>
    </row>
    <row r="54" spans="1:57" x14ac:dyDescent="0.25">
      <c r="A54" s="1" t="s">
        <v>0</v>
      </c>
      <c r="B54" s="1" t="s">
        <v>39</v>
      </c>
      <c r="C54" s="1">
        <v>2019</v>
      </c>
      <c r="D54" s="1">
        <v>2020</v>
      </c>
      <c r="E54" s="1">
        <v>2021</v>
      </c>
      <c r="F54" s="1">
        <v>2022</v>
      </c>
      <c r="G54" s="1">
        <v>2023</v>
      </c>
      <c r="H54" s="1">
        <v>2024</v>
      </c>
      <c r="I54" s="1">
        <v>2025</v>
      </c>
      <c r="J54" s="1">
        <v>2026</v>
      </c>
      <c r="K54" s="1">
        <v>2027</v>
      </c>
      <c r="L54" s="1">
        <v>2028</v>
      </c>
      <c r="M54" s="1">
        <v>2029</v>
      </c>
      <c r="N54" s="1">
        <v>2030</v>
      </c>
      <c r="O54" s="1">
        <v>2031</v>
      </c>
      <c r="P54" s="1">
        <v>2032</v>
      </c>
      <c r="Q54" s="1">
        <v>2033</v>
      </c>
      <c r="R54" s="1">
        <v>2034</v>
      </c>
      <c r="S54" s="1">
        <v>2035</v>
      </c>
      <c r="T54" s="1">
        <v>2036</v>
      </c>
      <c r="U54" s="1">
        <v>2037</v>
      </c>
      <c r="V54" s="1">
        <v>2038</v>
      </c>
      <c r="W54" s="1">
        <v>2039</v>
      </c>
      <c r="X54" s="1">
        <v>2040</v>
      </c>
      <c r="Y54" s="1">
        <v>2041</v>
      </c>
      <c r="Z54" s="1">
        <v>2042</v>
      </c>
      <c r="AA54" s="1">
        <v>2043</v>
      </c>
      <c r="AB54" s="1">
        <v>2044</v>
      </c>
      <c r="AC54" s="1">
        <v>2045</v>
      </c>
      <c r="AD54" s="1">
        <v>2046</v>
      </c>
      <c r="AE54" s="1">
        <v>2047</v>
      </c>
      <c r="AF54" s="1">
        <v>2048</v>
      </c>
      <c r="AG54" s="1">
        <v>2049</v>
      </c>
      <c r="AH54" s="1">
        <v>2050</v>
      </c>
      <c r="AL54" s="2">
        <f ca="1">INDIRECT(ADDRESS(54,3))</f>
        <v>2019</v>
      </c>
      <c r="AM54" s="2" t="str">
        <f ca="1">CONCATENATE(INDIRECT(ADDRESS(54,3))," Share")</f>
        <v>2019 Share</v>
      </c>
      <c r="AN54" s="2">
        <f ca="1">INDIRECT(ADDRESS(54,9))</f>
        <v>2025</v>
      </c>
      <c r="AO54" s="2" t="str">
        <f ca="1">CONCATENATE(INDIRECT(ADDRESS(54,9))," Share")</f>
        <v>2025 Share</v>
      </c>
      <c r="AP54" s="2" t="str">
        <f ca="1">CONCATENATE("% change ",INDIRECT(ADDRESS(54,3)),"-",INDIRECT(ADDRESS(54,9)))</f>
        <v>% change 2019-2025</v>
      </c>
      <c r="AQ54" s="2">
        <f ca="1">INDIRECT(ADDRESS(54,14))</f>
        <v>2030</v>
      </c>
      <c r="AR54" s="2" t="str">
        <f ca="1">CONCATENATE(INDIRECT(ADDRESS(54,14))," Share")</f>
        <v>2030 Share</v>
      </c>
      <c r="AS54" s="2" t="str">
        <f ca="1">CONCATENATE("% change ",INDIRECT(ADDRESS(54,3)),"-",INDIRECT(ADDRESS(54,14)))</f>
        <v>% change 2019-2030</v>
      </c>
      <c r="AT54" s="2">
        <f ca="1">INDIRECT(ADDRESS(54,19))</f>
        <v>2035</v>
      </c>
      <c r="AU54" s="2" t="str">
        <f ca="1">CONCATENATE(INDIRECT(ADDRESS(54,19))," Share")</f>
        <v>2035 Share</v>
      </c>
      <c r="AV54" s="2" t="str">
        <f ca="1">CONCATENATE("% change ",INDIRECT(ADDRESS(54,3)),"-",INDIRECT(ADDRESS(54,19)))</f>
        <v>% change 2019-2035</v>
      </c>
      <c r="AW54" s="2">
        <f ca="1">INDIRECT(ADDRESS(54,24))</f>
        <v>2040</v>
      </c>
      <c r="AX54" s="2" t="str">
        <f ca="1">CONCATENATE(INDIRECT(ADDRESS(54,24))," Share")</f>
        <v>2040 Share</v>
      </c>
      <c r="AY54" s="2" t="str">
        <f ca="1">CONCATENATE("% change ",INDIRECT(ADDRESS(54,3)),"-",INDIRECT(ADDRESS(54,24)))</f>
        <v>% change 2019-2040</v>
      </c>
      <c r="AZ54" s="2">
        <f ca="1">INDIRECT(ADDRESS(54,29))</f>
        <v>2045</v>
      </c>
      <c r="BA54" s="2" t="str">
        <f ca="1">CONCATENATE(INDIRECT(ADDRESS(54,29))," Share")</f>
        <v>2045 Share</v>
      </c>
      <c r="BB54" s="2" t="str">
        <f ca="1">CONCATENATE("% change ",INDIRECT(ADDRESS(54,3)),"-",INDIRECT(ADDRESS(54,29)))</f>
        <v>% change 2019-2045</v>
      </c>
      <c r="BC54" s="2">
        <f ca="1">INDIRECT(ADDRESS(54,34))</f>
        <v>2050</v>
      </c>
      <c r="BD54" s="2" t="str">
        <f ca="1">CONCATENATE(INDIRECT(ADDRESS(54,34))," Share")</f>
        <v>2050 Share</v>
      </c>
      <c r="BE54" s="2" t="str">
        <f ca="1">CONCATENATE("% change ",INDIRECT(ADDRESS(54,3)),"-",INDIRECT(ADDRESS(54,34)))</f>
        <v>% change 2019-2050</v>
      </c>
    </row>
    <row r="55" spans="1:57" x14ac:dyDescent="0.25">
      <c r="A55" s="5" t="s">
        <v>5</v>
      </c>
      <c r="B55" s="1" t="s">
        <v>40</v>
      </c>
      <c r="C55">
        <v>8510024.0999999996</v>
      </c>
      <c r="D55">
        <v>8510023.0999999996</v>
      </c>
      <c r="E55">
        <v>8510023.0999999996</v>
      </c>
      <c r="F55">
        <v>8510023.0999999996</v>
      </c>
      <c r="G55">
        <v>8510023.0999999996</v>
      </c>
      <c r="H55">
        <v>8510023.0999999996</v>
      </c>
      <c r="I55">
        <v>473388.3</v>
      </c>
      <c r="J55">
        <v>468402.8</v>
      </c>
      <c r="K55">
        <v>463564</v>
      </c>
      <c r="L55">
        <v>458865.6</v>
      </c>
      <c r="M55">
        <v>454301.4</v>
      </c>
      <c r="N55">
        <v>449865.9</v>
      </c>
      <c r="O55">
        <v>445652.1</v>
      </c>
      <c r="P55">
        <v>441553.9</v>
      </c>
      <c r="Q55">
        <v>437566.5</v>
      </c>
      <c r="R55">
        <v>433685.5</v>
      </c>
      <c r="S55">
        <v>429906.7</v>
      </c>
      <c r="T55">
        <v>426324</v>
      </c>
      <c r="U55">
        <v>422833.2</v>
      </c>
      <c r="V55">
        <v>419430.8</v>
      </c>
      <c r="W55">
        <v>416113.6</v>
      </c>
      <c r="X55">
        <v>412878.3</v>
      </c>
      <c r="Y55">
        <v>409611.1</v>
      </c>
      <c r="Z55">
        <v>406422.6</v>
      </c>
      <c r="AA55">
        <v>403310.2</v>
      </c>
      <c r="AB55">
        <v>400271</v>
      </c>
      <c r="AC55">
        <v>397302.5</v>
      </c>
      <c r="AD55">
        <v>394325.8</v>
      </c>
      <c r="AE55">
        <v>391416.8</v>
      </c>
      <c r="AF55">
        <v>388573.3</v>
      </c>
      <c r="AG55">
        <v>385793</v>
      </c>
      <c r="AH55">
        <v>383073.8</v>
      </c>
      <c r="AK55" s="3" t="str">
        <f ca="1">INDIRECT(ADDRESS(55,2))</f>
        <v>Coal</v>
      </c>
      <c r="AL55" s="3">
        <f ca="1">INDIRECT(ADDRESS(55,3))</f>
        <v>8510024.0999999996</v>
      </c>
      <c r="AM55" s="4">
        <f ca="1">IFERROR(INDIRECT(ADDRESS(55,3)) / INDIRECT(ADDRESS(68,3)),0)</f>
        <v>8.0192920564142608E-2</v>
      </c>
      <c r="AN55" s="3">
        <f ca="1">INDIRECT(ADDRESS(55,9))</f>
        <v>473388.3</v>
      </c>
      <c r="AO55" s="4">
        <f ca="1">IFERROR(INDIRECT(ADDRESS(55,9)) / INDIRECT(ADDRESS(68,9)),0)</f>
        <v>6.1147315038660869E-3</v>
      </c>
      <c r="AP55" s="4">
        <f ca="1">IFERROR((INDIRECT(ADDRESS(55,9)) - INDIRECT(ADDRESS(55,3)))/ INDIRECT(ADDRESS(55,3)),1)</f>
        <v>-0.94437286023667077</v>
      </c>
      <c r="AQ55" s="3">
        <f ca="1">INDIRECT(ADDRESS(55,14))</f>
        <v>449865.9</v>
      </c>
      <c r="AR55" s="4">
        <f ca="1">IFERROR(INDIRECT(ADDRESS(55,14)) / INDIRECT(ADDRESS(68,14)),0)</f>
        <v>8.244057712367461E-3</v>
      </c>
      <c r="AS55" s="4">
        <f ca="1">IFERROR((INDIRECT(ADDRESS(55,14)) - INDIRECT(ADDRESS(55,3)))/ INDIRECT(ADDRESS(55,3)),1)</f>
        <v>-0.94713694171559393</v>
      </c>
      <c r="AT55" s="3">
        <f ca="1">INDIRECT(ADDRESS(55,19))</f>
        <v>429906.7</v>
      </c>
      <c r="AU55" s="4">
        <f ca="1">IFERROR(INDIRECT(ADDRESS(55,19)) / INDIRECT(ADDRESS(68,19)),0)</f>
        <v>1.0608353895671557E-2</v>
      </c>
      <c r="AV55" s="4">
        <f ca="1">IFERROR((INDIRECT(ADDRESS(55,19)) - INDIRECT(ADDRESS(55,3)))/ INDIRECT(ADDRESS(55,3)),1)</f>
        <v>-0.94948231697722218</v>
      </c>
      <c r="AW55" s="3">
        <f ca="1">INDIRECT(ADDRESS(55,24))</f>
        <v>412878.3</v>
      </c>
      <c r="AX55" s="4">
        <f ca="1">IFERROR(INDIRECT(ADDRESS(55,24)) / INDIRECT(ADDRESS(68,24)),0)</f>
        <v>1.266257593462833E-2</v>
      </c>
      <c r="AY55" s="4">
        <f ca="1">IFERROR((INDIRECT(ADDRESS(55,24)) - INDIRECT(ADDRESS(55,3)))/ INDIRECT(ADDRESS(55,3)),1)</f>
        <v>-0.9514832983845487</v>
      </c>
      <c r="AZ55" s="3">
        <f ca="1">INDIRECT(ADDRESS(55,29))</f>
        <v>397302.5</v>
      </c>
      <c r="BA55" s="4">
        <f ca="1">IFERROR(INDIRECT(ADDRESS(55,29)) / INDIRECT(ADDRESS(68,29)),0)</f>
        <v>1.440745177049731E-2</v>
      </c>
      <c r="BB55" s="4">
        <f ca="1">IFERROR((INDIRECT(ADDRESS(55,29)) - INDIRECT(ADDRESS(55,3)))/ INDIRECT(ADDRESS(55,3)),1)</f>
        <v>-0.95331358697327306</v>
      </c>
      <c r="BC55" s="3">
        <f ca="1">INDIRECT(ADDRESS(55,34))</f>
        <v>383073.8</v>
      </c>
      <c r="BD55" s="4">
        <f ca="1">IFERROR(INDIRECT(ADDRESS(55,34)) / INDIRECT(ADDRESS(68,34)),0)</f>
        <v>1.5167354063128019E-2</v>
      </c>
      <c r="BE55" s="4">
        <f ca="1">IFERROR((INDIRECT(ADDRESS(55,34)) - INDIRECT(ADDRESS(55,3)))/ INDIRECT(ADDRESS(55,3)),1)</f>
        <v>-0.95498557988807575</v>
      </c>
    </row>
    <row r="56" spans="1:57" x14ac:dyDescent="0.25">
      <c r="A56" s="5"/>
      <c r="B56" s="1" t="s">
        <v>41</v>
      </c>
      <c r="C56">
        <v>16213790</v>
      </c>
      <c r="D56">
        <v>15531020</v>
      </c>
      <c r="E56">
        <v>14818260</v>
      </c>
      <c r="F56">
        <v>14088080</v>
      </c>
      <c r="G56">
        <v>13373050</v>
      </c>
      <c r="H56">
        <v>12528840</v>
      </c>
      <c r="I56">
        <v>11750050</v>
      </c>
      <c r="J56">
        <v>10923790</v>
      </c>
      <c r="K56">
        <v>10137830</v>
      </c>
      <c r="L56">
        <v>9372473</v>
      </c>
      <c r="M56">
        <v>8628280</v>
      </c>
      <c r="N56">
        <v>7917861</v>
      </c>
      <c r="O56">
        <v>7235565</v>
      </c>
      <c r="P56">
        <v>6584524</v>
      </c>
      <c r="Q56">
        <v>5951586</v>
      </c>
      <c r="R56">
        <v>5324069</v>
      </c>
      <c r="S56">
        <v>4732364</v>
      </c>
      <c r="T56">
        <v>4407526</v>
      </c>
      <c r="U56">
        <v>4088349</v>
      </c>
      <c r="V56">
        <v>3778517</v>
      </c>
      <c r="W56">
        <v>3529889</v>
      </c>
      <c r="X56">
        <v>3287976</v>
      </c>
      <c r="Y56">
        <v>3185261</v>
      </c>
      <c r="Z56">
        <v>3087191</v>
      </c>
      <c r="AA56">
        <v>2994913</v>
      </c>
      <c r="AB56">
        <v>2908654</v>
      </c>
      <c r="AC56">
        <v>2827994</v>
      </c>
      <c r="AD56">
        <v>2752521</v>
      </c>
      <c r="AE56">
        <v>2681629</v>
      </c>
      <c r="AF56">
        <v>2614683</v>
      </c>
      <c r="AG56">
        <v>2550914</v>
      </c>
      <c r="AH56">
        <v>2489451</v>
      </c>
      <c r="AK56" s="3" t="str">
        <f ca="1">INDIRECT(ADDRESS(56,2))</f>
        <v>Diesel</v>
      </c>
      <c r="AL56" s="3">
        <f ca="1">INDIRECT(ADDRESS(56,3))</f>
        <v>16213790</v>
      </c>
      <c r="AM56" s="4">
        <f ca="1">IFERROR(INDIRECT(ADDRESS(56,3)) / INDIRECT(ADDRESS(68,3)),0)</f>
        <v>0.15278818934410418</v>
      </c>
      <c r="AN56" s="3">
        <f ca="1">INDIRECT(ADDRESS(56,9))</f>
        <v>11750050</v>
      </c>
      <c r="AO56" s="4">
        <f ca="1">IFERROR(INDIRECT(ADDRESS(56,9)) / INDIRECT(ADDRESS(68,9)),0)</f>
        <v>0.1517747711698868</v>
      </c>
      <c r="AP56" s="4">
        <f ca="1">IFERROR((INDIRECT(ADDRESS(56,9)) - INDIRECT(ADDRESS(56,3)))/ INDIRECT(ADDRESS(56,3)),1)</f>
        <v>-0.27530515690655916</v>
      </c>
      <c r="AQ56" s="3">
        <f ca="1">INDIRECT(ADDRESS(56,14))</f>
        <v>7917861</v>
      </c>
      <c r="AR56" s="4">
        <f ca="1">IFERROR(INDIRECT(ADDRESS(56,14)) / INDIRECT(ADDRESS(68,14)),0)</f>
        <v>0.14509946862499143</v>
      </c>
      <c r="AS56" s="4">
        <f ca="1">IFERROR((INDIRECT(ADDRESS(56,14)) - INDIRECT(ADDRESS(56,3)))/ INDIRECT(ADDRESS(56,3)),1)</f>
        <v>-0.51165884102359782</v>
      </c>
      <c r="AT56" s="3">
        <f ca="1">INDIRECT(ADDRESS(56,19))</f>
        <v>4732364</v>
      </c>
      <c r="AU56" s="4">
        <f ca="1">IFERROR(INDIRECT(ADDRESS(56,19)) / INDIRECT(ADDRESS(68,19)),0)</f>
        <v>0.11677555170723282</v>
      </c>
      <c r="AV56" s="4">
        <f ca="1">IFERROR((INDIRECT(ADDRESS(56,19)) - INDIRECT(ADDRESS(56,3)))/ INDIRECT(ADDRESS(56,3)),1)</f>
        <v>-0.70812721763387831</v>
      </c>
      <c r="AW56" s="3">
        <f ca="1">INDIRECT(ADDRESS(56,24))</f>
        <v>3287976</v>
      </c>
      <c r="AX56" s="4">
        <f ca="1">IFERROR(INDIRECT(ADDRESS(56,24)) / INDIRECT(ADDRESS(68,24)),0)</f>
        <v>0.10083902634562175</v>
      </c>
      <c r="AY56" s="4">
        <f ca="1">IFERROR((INDIRECT(ADDRESS(56,24)) - INDIRECT(ADDRESS(56,3)))/ INDIRECT(ADDRESS(56,3)),1)</f>
        <v>-0.7972111394066409</v>
      </c>
      <c r="AZ56" s="3">
        <f ca="1">INDIRECT(ADDRESS(56,29))</f>
        <v>2827994</v>
      </c>
      <c r="BA56" s="4">
        <f ca="1">IFERROR(INDIRECT(ADDRESS(56,29)) / INDIRECT(ADDRESS(68,29)),0)</f>
        <v>0.10255205331518369</v>
      </c>
      <c r="BB56" s="4">
        <f ca="1">IFERROR((INDIRECT(ADDRESS(56,29)) - INDIRECT(ADDRESS(56,3)))/ INDIRECT(ADDRESS(56,3)),1)</f>
        <v>-0.82558094066840637</v>
      </c>
      <c r="BC56" s="3">
        <f ca="1">INDIRECT(ADDRESS(56,34))</f>
        <v>2489451</v>
      </c>
      <c r="BD56" s="4">
        <f ca="1">IFERROR(INDIRECT(ADDRESS(56,34)) / INDIRECT(ADDRESS(68,34)),0)</f>
        <v>9.8566868159106966E-2</v>
      </c>
      <c r="BE56" s="4">
        <f ca="1">IFERROR((INDIRECT(ADDRESS(56,34)) - INDIRECT(ADDRESS(56,3)))/ INDIRECT(ADDRESS(56,3)),1)</f>
        <v>-0.84646088298910993</v>
      </c>
    </row>
    <row r="57" spans="1:57" x14ac:dyDescent="0.25">
      <c r="A57" s="5"/>
      <c r="B57" s="1" t="s">
        <v>42</v>
      </c>
      <c r="C57">
        <v>6884914.7750000004</v>
      </c>
      <c r="D57">
        <v>6883513.2640000004</v>
      </c>
      <c r="E57">
        <v>6878772.4979999997</v>
      </c>
      <c r="F57">
        <v>6874023.54</v>
      </c>
      <c r="G57">
        <v>6752328.199</v>
      </c>
      <c r="H57">
        <v>6627582.7010000004</v>
      </c>
      <c r="I57">
        <v>6411524.8119999999</v>
      </c>
      <c r="J57">
        <v>6203070.1579999998</v>
      </c>
      <c r="K57">
        <v>5998238.0350000001</v>
      </c>
      <c r="L57">
        <v>5796059.4189999998</v>
      </c>
      <c r="M57">
        <v>5595589.023</v>
      </c>
      <c r="N57">
        <v>5390132.693</v>
      </c>
      <c r="O57">
        <v>5189233.9859999996</v>
      </c>
      <c r="P57">
        <v>4992678.0369999995</v>
      </c>
      <c r="Q57">
        <v>4802060.9630000005</v>
      </c>
      <c r="R57">
        <v>4618244.5190000003</v>
      </c>
      <c r="S57">
        <v>4441581.7139999997</v>
      </c>
      <c r="T57">
        <v>4275464.3080000002</v>
      </c>
      <c r="U57">
        <v>4116018.8640000001</v>
      </c>
      <c r="V57">
        <v>3962898.9240000001</v>
      </c>
      <c r="W57">
        <v>3815620.7570000002</v>
      </c>
      <c r="X57">
        <v>3673495.6779999998</v>
      </c>
      <c r="Y57">
        <v>3533074.625</v>
      </c>
      <c r="Z57">
        <v>3397092.105</v>
      </c>
      <c r="AA57">
        <v>3265191.199</v>
      </c>
      <c r="AB57">
        <v>3137031.39</v>
      </c>
      <c r="AC57">
        <v>3010813.0869999998</v>
      </c>
      <c r="AD57">
        <v>2887097.1209999998</v>
      </c>
      <c r="AE57">
        <v>2766311.3281</v>
      </c>
      <c r="AF57">
        <v>2648246.8333000001</v>
      </c>
      <c r="AG57">
        <v>2532756.1869999999</v>
      </c>
      <c r="AH57">
        <v>2419734.4079</v>
      </c>
      <c r="AK57" s="3" t="str">
        <f ca="1">INDIRECT(ADDRESS(57,2))</f>
        <v>Fuel Oil</v>
      </c>
      <c r="AL57" s="3">
        <f ca="1">INDIRECT(ADDRESS(57,3))</f>
        <v>6884914.7750000004</v>
      </c>
      <c r="AM57" s="4">
        <f ca="1">IFERROR(INDIRECT(ADDRESS(57,3)) / INDIRECT(ADDRESS(68,3)),0)</f>
        <v>6.4878949478235526E-2</v>
      </c>
      <c r="AN57" s="3">
        <f ca="1">INDIRECT(ADDRESS(57,9))</f>
        <v>6411524.8119999999</v>
      </c>
      <c r="AO57" s="4">
        <f ca="1">IFERROR(INDIRECT(ADDRESS(57,9)) / INDIRECT(ADDRESS(68,9)),0)</f>
        <v>8.2817325134050615E-2</v>
      </c>
      <c r="AP57" s="4">
        <f ca="1">IFERROR((INDIRECT(ADDRESS(57,9)) - INDIRECT(ADDRESS(57,3)))/ INDIRECT(ADDRESS(57,3)),1)</f>
        <v>-6.875756323359869E-2</v>
      </c>
      <c r="AQ57" s="3">
        <f ca="1">INDIRECT(ADDRESS(57,14))</f>
        <v>5390132.693</v>
      </c>
      <c r="AR57" s="4">
        <f ca="1">IFERROR(INDIRECT(ADDRESS(57,14)) / INDIRECT(ADDRESS(68,14)),0)</f>
        <v>9.8777357871335972E-2</v>
      </c>
      <c r="AS57" s="4">
        <f ca="1">IFERROR((INDIRECT(ADDRESS(57,14)) - INDIRECT(ADDRESS(57,3)))/ INDIRECT(ADDRESS(57,3)),1)</f>
        <v>-0.21710974367144587</v>
      </c>
      <c r="AT57" s="3">
        <f ca="1">INDIRECT(ADDRESS(57,19))</f>
        <v>4441581.7139999997</v>
      </c>
      <c r="AU57" s="4">
        <f ca="1">IFERROR(INDIRECT(ADDRESS(57,19)) / INDIRECT(ADDRESS(68,19)),0)</f>
        <v>0.10960022413852924</v>
      </c>
      <c r="AV57" s="4">
        <f ca="1">IFERROR((INDIRECT(ADDRESS(57,19)) - INDIRECT(ADDRESS(57,3)))/ INDIRECT(ADDRESS(57,3)),1)</f>
        <v>-0.35488210687401001</v>
      </c>
      <c r="AW57" s="3">
        <f ca="1">INDIRECT(ADDRESS(57,24))</f>
        <v>3673495.6779999998</v>
      </c>
      <c r="AX57" s="4">
        <f ca="1">IFERROR(INDIRECT(ADDRESS(57,24)) / INDIRECT(ADDRESS(68,24)),0)</f>
        <v>0.1126625399499174</v>
      </c>
      <c r="AY57" s="4">
        <f ca="1">IFERROR((INDIRECT(ADDRESS(57,24)) - INDIRECT(ADDRESS(57,3)))/ INDIRECT(ADDRESS(57,3)),1)</f>
        <v>-0.46644282492225919</v>
      </c>
      <c r="AZ57" s="3">
        <f ca="1">INDIRECT(ADDRESS(57,29))</f>
        <v>3010813.0869999998</v>
      </c>
      <c r="BA57" s="4">
        <f ca="1">IFERROR(INDIRECT(ADDRESS(57,29)) / INDIRECT(ADDRESS(68,29)),0)</f>
        <v>0.10918165463578663</v>
      </c>
      <c r="BB57" s="4">
        <f ca="1">IFERROR((INDIRECT(ADDRESS(57,29)) - INDIRECT(ADDRESS(57,3)))/ INDIRECT(ADDRESS(57,3)),1)</f>
        <v>-0.56269421112768969</v>
      </c>
      <c r="BC57" s="3">
        <f ca="1">INDIRECT(ADDRESS(57,34))</f>
        <v>2419734.4079</v>
      </c>
      <c r="BD57" s="4">
        <f ca="1">IFERROR(INDIRECT(ADDRESS(57,34)) / INDIRECT(ADDRESS(68,34)),0)</f>
        <v>9.5806522146261994E-2</v>
      </c>
      <c r="BE57" s="4">
        <f ca="1">IFERROR((INDIRECT(ADDRESS(57,34)) - INDIRECT(ADDRESS(57,3)))/ INDIRECT(ADDRESS(57,3)),1)</f>
        <v>-0.64854548139268731</v>
      </c>
    </row>
    <row r="58" spans="1:57" x14ac:dyDescent="0.25">
      <c r="A58" s="5"/>
      <c r="B58" s="1" t="s">
        <v>25</v>
      </c>
      <c r="C58">
        <v>221100.7</v>
      </c>
      <c r="D58">
        <v>220935.7</v>
      </c>
      <c r="E58">
        <v>220430.5</v>
      </c>
      <c r="F58">
        <v>219791.4</v>
      </c>
      <c r="G58">
        <v>217404.7</v>
      </c>
      <c r="H58">
        <v>213082.7</v>
      </c>
      <c r="I58">
        <v>208814.7</v>
      </c>
      <c r="J58">
        <v>203497.1</v>
      </c>
      <c r="K58">
        <v>198007.4</v>
      </c>
      <c r="L58">
        <v>192254.5</v>
      </c>
      <c r="M58">
        <v>184118</v>
      </c>
      <c r="N58">
        <v>128178.1</v>
      </c>
      <c r="O58">
        <v>119820.7</v>
      </c>
      <c r="P58">
        <v>111607.3</v>
      </c>
      <c r="Q58">
        <v>103757.1</v>
      </c>
      <c r="R58">
        <v>96144.36</v>
      </c>
      <c r="S58">
        <v>90239.03</v>
      </c>
      <c r="T58">
        <v>84669.75</v>
      </c>
      <c r="U58">
        <v>79674.87</v>
      </c>
      <c r="V58">
        <v>75226.5</v>
      </c>
      <c r="W58">
        <v>71123.02</v>
      </c>
      <c r="X58">
        <v>67794.97</v>
      </c>
      <c r="Y58">
        <v>65739.990000000005</v>
      </c>
      <c r="Z58">
        <v>63887.86</v>
      </c>
      <c r="AA58">
        <v>62196.38</v>
      </c>
      <c r="AB58">
        <v>60568.52</v>
      </c>
      <c r="AC58">
        <v>47186.31</v>
      </c>
      <c r="AD58">
        <v>45840.24</v>
      </c>
      <c r="AE58">
        <v>44542.879999999997</v>
      </c>
      <c r="AF58">
        <v>43281.7</v>
      </c>
      <c r="AG58">
        <v>41939.19</v>
      </c>
      <c r="AH58">
        <v>40845.61</v>
      </c>
      <c r="AK58" s="3" t="str">
        <f ca="1">INDIRECT(ADDRESS(58,2))</f>
        <v>Fugitive</v>
      </c>
      <c r="AL58" s="3">
        <f ca="1">INDIRECT(ADDRESS(58,3))</f>
        <v>221100.7</v>
      </c>
      <c r="AM58" s="4">
        <f ca="1">IFERROR(INDIRECT(ADDRESS(58,3)) / INDIRECT(ADDRESS(68,3)),0)</f>
        <v>2.0835088906242141E-3</v>
      </c>
      <c r="AN58" s="3">
        <f ca="1">INDIRECT(ADDRESS(58,9))</f>
        <v>208814.7</v>
      </c>
      <c r="AO58" s="4">
        <f ca="1">IFERROR(INDIRECT(ADDRESS(58,9)) / INDIRECT(ADDRESS(68,9)),0)</f>
        <v>2.6972483784672031E-3</v>
      </c>
      <c r="AP58" s="4">
        <f ca="1">IFERROR((INDIRECT(ADDRESS(58,9)) - INDIRECT(ADDRESS(58,3)))/ INDIRECT(ADDRESS(58,3)),1)</f>
        <v>-5.5567440537275546E-2</v>
      </c>
      <c r="AQ58" s="3">
        <f ca="1">INDIRECT(ADDRESS(58,14))</f>
        <v>128178.1</v>
      </c>
      <c r="AR58" s="4">
        <f ca="1">IFERROR(INDIRECT(ADDRESS(58,14)) / INDIRECT(ADDRESS(68,14)),0)</f>
        <v>2.34893921468955E-3</v>
      </c>
      <c r="AS58" s="4">
        <f ca="1">IFERROR((INDIRECT(ADDRESS(58,14)) - INDIRECT(ADDRESS(58,3)))/ INDIRECT(ADDRESS(58,3)),1)</f>
        <v>-0.42027275354623483</v>
      </c>
      <c r="AT58" s="3">
        <f ca="1">INDIRECT(ADDRESS(58,19))</f>
        <v>90239.03</v>
      </c>
      <c r="AU58" s="4">
        <f ca="1">IFERROR(INDIRECT(ADDRESS(58,19)) / INDIRECT(ADDRESS(68,19)),0)</f>
        <v>2.2267333015329196E-3</v>
      </c>
      <c r="AV58" s="4">
        <f ca="1">IFERROR((INDIRECT(ADDRESS(58,19)) - INDIRECT(ADDRESS(58,3)))/ INDIRECT(ADDRESS(58,3)),1)</f>
        <v>-0.59186456668839138</v>
      </c>
      <c r="AW58" s="3">
        <f ca="1">INDIRECT(ADDRESS(58,24))</f>
        <v>67794.97</v>
      </c>
      <c r="AX58" s="4">
        <f ca="1">IFERROR(INDIRECT(ADDRESS(58,24)) / INDIRECT(ADDRESS(68,24)),0)</f>
        <v>2.0792057989263415E-3</v>
      </c>
      <c r="AY58" s="4">
        <f ca="1">IFERROR((INDIRECT(ADDRESS(58,24)) - INDIRECT(ADDRESS(58,3)))/ INDIRECT(ADDRESS(58,3)),1)</f>
        <v>-0.69337514535232136</v>
      </c>
      <c r="AZ58" s="3">
        <f ca="1">INDIRECT(ADDRESS(58,29))</f>
        <v>47186.31</v>
      </c>
      <c r="BA58" s="4">
        <f ca="1">IFERROR(INDIRECT(ADDRESS(58,29)) / INDIRECT(ADDRESS(68,29)),0)</f>
        <v>1.7111256172632563E-3</v>
      </c>
      <c r="BB58" s="4">
        <f ca="1">IFERROR((INDIRECT(ADDRESS(58,29)) - INDIRECT(ADDRESS(58,3)))/ INDIRECT(ADDRESS(58,3)),1)</f>
        <v>-0.78658452913084398</v>
      </c>
      <c r="BC58" s="3">
        <f ca="1">INDIRECT(ADDRESS(58,34))</f>
        <v>40845.61</v>
      </c>
      <c r="BD58" s="4">
        <f ca="1">IFERROR(INDIRECT(ADDRESS(58,34)) / INDIRECT(ADDRESS(68,34)),0)</f>
        <v>1.617233621287706E-3</v>
      </c>
      <c r="BE58" s="4">
        <f ca="1">IFERROR((INDIRECT(ADDRESS(58,34)) - INDIRECT(ADDRESS(58,3)))/ INDIRECT(ADDRESS(58,3)),1)</f>
        <v>-0.81526241210452977</v>
      </c>
    </row>
    <row r="59" spans="1:57" x14ac:dyDescent="0.25">
      <c r="A59" s="5"/>
      <c r="B59" s="1" t="s">
        <v>43</v>
      </c>
      <c r="C59">
        <v>24286310</v>
      </c>
      <c r="D59">
        <v>24217940</v>
      </c>
      <c r="E59">
        <v>23166380</v>
      </c>
      <c r="F59">
        <v>21963040</v>
      </c>
      <c r="G59">
        <v>20837070</v>
      </c>
      <c r="H59">
        <v>19453880</v>
      </c>
      <c r="I59">
        <v>17345270</v>
      </c>
      <c r="J59">
        <v>15824550</v>
      </c>
      <c r="K59">
        <v>14200710</v>
      </c>
      <c r="L59">
        <v>12547850</v>
      </c>
      <c r="M59">
        <v>10970820</v>
      </c>
      <c r="N59">
        <v>9602140</v>
      </c>
      <c r="O59">
        <v>8439760</v>
      </c>
      <c r="P59">
        <v>7435527</v>
      </c>
      <c r="Q59">
        <v>6526361</v>
      </c>
      <c r="R59">
        <v>5532054</v>
      </c>
      <c r="S59">
        <v>4700137</v>
      </c>
      <c r="T59">
        <v>4104683</v>
      </c>
      <c r="U59">
        <v>3513066</v>
      </c>
      <c r="V59">
        <v>2955847</v>
      </c>
      <c r="W59">
        <v>2488009</v>
      </c>
      <c r="X59">
        <v>2071096</v>
      </c>
      <c r="Y59">
        <v>1698902</v>
      </c>
      <c r="Z59">
        <v>1360282</v>
      </c>
      <c r="AA59">
        <v>1064796</v>
      </c>
      <c r="AB59">
        <v>814465.2</v>
      </c>
      <c r="AC59">
        <v>606112.19999999995</v>
      </c>
      <c r="AD59">
        <v>435967.4</v>
      </c>
      <c r="AE59">
        <v>300082.7</v>
      </c>
      <c r="AF59">
        <v>193213.5</v>
      </c>
      <c r="AG59">
        <v>109065.8</v>
      </c>
      <c r="AH59">
        <v>40572.46</v>
      </c>
      <c r="AK59" s="3" t="str">
        <f ca="1">INDIRECT(ADDRESS(59,2))</f>
        <v>Gasoline</v>
      </c>
      <c r="AL59" s="3">
        <f ca="1">INDIRECT(ADDRESS(59,3))</f>
        <v>24286310</v>
      </c>
      <c r="AM59" s="4">
        <f ca="1">IFERROR(INDIRECT(ADDRESS(59,3)) / INDIRECT(ADDRESS(68,3)),0)</f>
        <v>0.22885835642065247</v>
      </c>
      <c r="AN59" s="3">
        <f ca="1">INDIRECT(ADDRESS(59,9))</f>
        <v>17345270</v>
      </c>
      <c r="AO59" s="4">
        <f ca="1">IFERROR(INDIRECT(ADDRESS(59,9)) / INDIRECT(ADDRESS(68,9)),0)</f>
        <v>0.22404793044539403</v>
      </c>
      <c r="AP59" s="4">
        <f ca="1">IFERROR((INDIRECT(ADDRESS(59,9)) - INDIRECT(ADDRESS(59,3)))/ INDIRECT(ADDRESS(59,3)),1)</f>
        <v>-0.28580051889315422</v>
      </c>
      <c r="AQ59" s="3">
        <f ca="1">INDIRECT(ADDRESS(59,14))</f>
        <v>9602140</v>
      </c>
      <c r="AR59" s="4">
        <f ca="1">IFERROR(INDIRECT(ADDRESS(59,14)) / INDIRECT(ADDRESS(68,14)),0)</f>
        <v>0.17596487380402048</v>
      </c>
      <c r="AS59" s="4">
        <f ca="1">IFERROR((INDIRECT(ADDRESS(59,14)) - INDIRECT(ADDRESS(59,3)))/ INDIRECT(ADDRESS(59,3)),1)</f>
        <v>-0.60462746296164382</v>
      </c>
      <c r="AT59" s="3">
        <f ca="1">INDIRECT(ADDRESS(59,19))</f>
        <v>4700137</v>
      </c>
      <c r="AU59" s="4">
        <f ca="1">IFERROR(INDIRECT(ADDRESS(59,19)) / INDIRECT(ADDRESS(68,19)),0)</f>
        <v>0.1159803200418603</v>
      </c>
      <c r="AV59" s="4">
        <f ca="1">IFERROR((INDIRECT(ADDRESS(59,19)) - INDIRECT(ADDRESS(59,3)))/ INDIRECT(ADDRESS(59,3)),1)</f>
        <v>-0.80646969424338233</v>
      </c>
      <c r="AW59" s="3">
        <f ca="1">INDIRECT(ADDRESS(59,24))</f>
        <v>2071096</v>
      </c>
      <c r="AX59" s="4">
        <f ca="1">IFERROR(INDIRECT(ADDRESS(59,24)) / INDIRECT(ADDRESS(68,24)),0)</f>
        <v>6.3518500167979275E-2</v>
      </c>
      <c r="AY59" s="4">
        <f ca="1">IFERROR((INDIRECT(ADDRESS(59,24)) - INDIRECT(ADDRESS(59,3)))/ INDIRECT(ADDRESS(59,3)),1)</f>
        <v>-0.91472166829790114</v>
      </c>
      <c r="AZ59" s="3">
        <f ca="1">INDIRECT(ADDRESS(59,29))</f>
        <v>606112.19999999995</v>
      </c>
      <c r="BA59" s="4">
        <f ca="1">IFERROR(INDIRECT(ADDRESS(59,29)) / INDIRECT(ADDRESS(68,29)),0)</f>
        <v>2.1979555348909253E-2</v>
      </c>
      <c r="BB59" s="4">
        <f ca="1">IFERROR((INDIRECT(ADDRESS(59,29)) - INDIRECT(ADDRESS(59,3)))/ INDIRECT(ADDRESS(59,3)),1)</f>
        <v>-0.97504305100280775</v>
      </c>
      <c r="BC59" s="3">
        <f ca="1">INDIRECT(ADDRESS(59,34))</f>
        <v>40572.46</v>
      </c>
      <c r="BD59" s="4">
        <f ca="1">IFERROR(INDIRECT(ADDRESS(59,34)) / INDIRECT(ADDRESS(68,34)),0)</f>
        <v>1.6064185700825767E-3</v>
      </c>
      <c r="BE59" s="4">
        <f ca="1">IFERROR((INDIRECT(ADDRESS(59,34)) - INDIRECT(ADDRESS(59,3)))/ INDIRECT(ADDRESS(59,3)),1)</f>
        <v>-0.99832941027270095</v>
      </c>
    </row>
    <row r="60" spans="1:57" x14ac:dyDescent="0.25">
      <c r="A60" s="5"/>
      <c r="B60" s="1" t="s">
        <v>44</v>
      </c>
      <c r="C60">
        <v>9786438.5133999996</v>
      </c>
      <c r="D60">
        <v>9759433.8719999995</v>
      </c>
      <c r="E60">
        <v>9988101.1637523007</v>
      </c>
      <c r="F60">
        <v>10190521.580995999</v>
      </c>
      <c r="G60">
        <v>10211375.9098</v>
      </c>
      <c r="H60">
        <v>10148768.0338</v>
      </c>
      <c r="I60">
        <v>2794268.2694999999</v>
      </c>
      <c r="J60">
        <v>2481574.9980000001</v>
      </c>
      <c r="K60">
        <v>2191709.7982000001</v>
      </c>
      <c r="L60">
        <v>1917868.9579</v>
      </c>
      <c r="M60">
        <v>1666603.9479</v>
      </c>
      <c r="N60">
        <v>1478849.0066</v>
      </c>
      <c r="O60">
        <v>1421169.5552999999</v>
      </c>
      <c r="P60">
        <v>1357490.2864000001</v>
      </c>
      <c r="Q60">
        <v>1290002.3093000001</v>
      </c>
      <c r="R60">
        <v>1220257.7988</v>
      </c>
      <c r="S60">
        <v>1157857.9523</v>
      </c>
      <c r="T60">
        <v>1115408.1044000001</v>
      </c>
      <c r="U60">
        <v>1069380.4197</v>
      </c>
      <c r="V60">
        <v>1019698.3676999999</v>
      </c>
      <c r="W60">
        <v>967248.22089999996</v>
      </c>
      <c r="X60">
        <v>918156.17800000007</v>
      </c>
      <c r="Y60">
        <v>896535.07290000003</v>
      </c>
      <c r="Z60">
        <v>870315.5652999999</v>
      </c>
      <c r="AA60">
        <v>837918.37569999998</v>
      </c>
      <c r="AB60">
        <v>799609.40870000003</v>
      </c>
      <c r="AC60">
        <v>754746.11789999995</v>
      </c>
      <c r="AD60">
        <v>754746.25210000004</v>
      </c>
      <c r="AE60">
        <v>754746.47970000003</v>
      </c>
      <c r="AF60">
        <v>754746.57949999999</v>
      </c>
      <c r="AG60">
        <v>754746.74450000003</v>
      </c>
      <c r="AH60">
        <v>754746.91020000004</v>
      </c>
      <c r="AK60" s="3" t="str">
        <f ca="1">INDIRECT(ADDRESS(60,2))</f>
        <v>Grid Electricity</v>
      </c>
      <c r="AL60" s="3">
        <f ca="1">INDIRECT(ADDRESS(60,3))</f>
        <v>9786438.5133999996</v>
      </c>
      <c r="AM60" s="4">
        <f ca="1">IFERROR(INDIRECT(ADDRESS(60,3)) / INDIRECT(ADDRESS(68,3)),0)</f>
        <v>9.2221018071024272E-2</v>
      </c>
      <c r="AN60" s="3">
        <f ca="1">INDIRECT(ADDRESS(60,9))</f>
        <v>2794268.2694999999</v>
      </c>
      <c r="AO60" s="4">
        <f ca="1">IFERROR(INDIRECT(ADDRESS(60,9)) / INDIRECT(ADDRESS(68,9)),0)</f>
        <v>3.6093414682545011E-2</v>
      </c>
      <c r="AP60" s="4">
        <f ca="1">IFERROR((INDIRECT(ADDRESS(60,9)) - INDIRECT(ADDRESS(60,3)))/ INDIRECT(ADDRESS(60,3)),1)</f>
        <v>-0.71447546871377454</v>
      </c>
      <c r="AQ60" s="3">
        <f ca="1">INDIRECT(ADDRESS(60,14))</f>
        <v>1478849.0066</v>
      </c>
      <c r="AR60" s="4">
        <f ca="1">IFERROR(INDIRECT(ADDRESS(60,14)) / INDIRECT(ADDRESS(68,14)),0)</f>
        <v>2.7100779495151085E-2</v>
      </c>
      <c r="AS60" s="4">
        <f ca="1">IFERROR((INDIRECT(ADDRESS(60,14)) - INDIRECT(ADDRESS(60,3)))/ INDIRECT(ADDRESS(60,3)),1)</f>
        <v>-0.84888792745439534</v>
      </c>
      <c r="AT60" s="3">
        <f ca="1">INDIRECT(ADDRESS(60,19))</f>
        <v>1157857.9523</v>
      </c>
      <c r="AU60" s="4">
        <f ca="1">IFERROR(INDIRECT(ADDRESS(60,19)) / INDIRECT(ADDRESS(68,19)),0)</f>
        <v>2.8571238640653883E-2</v>
      </c>
      <c r="AV60" s="4">
        <f ca="1">IFERROR((INDIRECT(ADDRESS(60,19)) - INDIRECT(ADDRESS(60,3)))/ INDIRECT(ADDRESS(60,3)),1)</f>
        <v>-0.88168750555019448</v>
      </c>
      <c r="AW60" s="3">
        <f ca="1">INDIRECT(ADDRESS(60,24))</f>
        <v>918156.17800000007</v>
      </c>
      <c r="AX60" s="4">
        <f ca="1">IFERROR(INDIRECT(ADDRESS(60,24)) / INDIRECT(ADDRESS(68,24)),0)</f>
        <v>2.8158957067429137E-2</v>
      </c>
      <c r="AY60" s="4">
        <f ca="1">IFERROR((INDIRECT(ADDRESS(60,24)) - INDIRECT(ADDRESS(60,3)))/ INDIRECT(ADDRESS(60,3)),1)</f>
        <v>-0.90618076466297504</v>
      </c>
      <c r="AZ60" s="3">
        <f ca="1">INDIRECT(ADDRESS(60,29))</f>
        <v>754746.11789999995</v>
      </c>
      <c r="BA60" s="4">
        <f ca="1">IFERROR(INDIRECT(ADDRESS(60,29)) / INDIRECT(ADDRESS(68,29)),0)</f>
        <v>2.7369493755046409E-2</v>
      </c>
      <c r="BB60" s="4">
        <f ca="1">IFERROR((INDIRECT(ADDRESS(60,29)) - INDIRECT(ADDRESS(60,3)))/ INDIRECT(ADDRESS(60,3)),1)</f>
        <v>-0.92287836715403981</v>
      </c>
      <c r="BC60" s="3">
        <f ca="1">INDIRECT(ADDRESS(60,34))</f>
        <v>754746.91020000004</v>
      </c>
      <c r="BD60" s="4">
        <f ca="1">IFERROR(INDIRECT(ADDRESS(60,34)) / INDIRECT(ADDRESS(68,34)),0)</f>
        <v>2.9883311296818756E-2</v>
      </c>
      <c r="BE60" s="4">
        <f ca="1">IFERROR((INDIRECT(ADDRESS(60,34)) - INDIRECT(ADDRESS(60,3)))/ INDIRECT(ADDRESS(60,3)),1)</f>
        <v>-0.92287828619506795</v>
      </c>
    </row>
    <row r="61" spans="1:57" x14ac:dyDescent="0.25">
      <c r="A61" s="5"/>
      <c r="B61" s="1" t="s">
        <v>45</v>
      </c>
      <c r="C61">
        <v>7872484</v>
      </c>
      <c r="D61">
        <v>7872484</v>
      </c>
      <c r="E61">
        <v>7785012</v>
      </c>
      <c r="F61">
        <v>7697540</v>
      </c>
      <c r="G61">
        <v>7610068</v>
      </c>
      <c r="H61">
        <v>7522596</v>
      </c>
      <c r="I61">
        <v>7435124</v>
      </c>
      <c r="J61">
        <v>7347652</v>
      </c>
      <c r="K61">
        <v>7260180</v>
      </c>
      <c r="L61">
        <v>7172708</v>
      </c>
      <c r="M61">
        <v>7085236</v>
      </c>
      <c r="N61">
        <v>6997764</v>
      </c>
      <c r="O61">
        <v>6910292</v>
      </c>
      <c r="P61">
        <v>6822820</v>
      </c>
      <c r="Q61">
        <v>6735348</v>
      </c>
      <c r="R61">
        <v>6647876</v>
      </c>
      <c r="S61">
        <v>6560404</v>
      </c>
      <c r="T61">
        <v>6472932</v>
      </c>
      <c r="U61">
        <v>6385459</v>
      </c>
      <c r="V61">
        <v>6297988</v>
      </c>
      <c r="W61">
        <v>6297988</v>
      </c>
      <c r="X61">
        <v>6297988</v>
      </c>
      <c r="Y61">
        <v>6297988</v>
      </c>
      <c r="Z61">
        <v>6297988</v>
      </c>
      <c r="AA61">
        <v>6297988</v>
      </c>
      <c r="AB61">
        <v>6297988</v>
      </c>
      <c r="AC61">
        <v>6297988</v>
      </c>
      <c r="AD61">
        <v>6297988</v>
      </c>
      <c r="AE61">
        <v>6297988</v>
      </c>
      <c r="AF61">
        <v>6297988</v>
      </c>
      <c r="AG61">
        <v>6297988</v>
      </c>
      <c r="AH61">
        <v>6297988</v>
      </c>
      <c r="AK61" s="3" t="str">
        <f ca="1">INDIRECT(ADDRESS(61,2))</f>
        <v>Jet Fuel</v>
      </c>
      <c r="AL61" s="3">
        <f ca="1">INDIRECT(ADDRESS(61,3))</f>
        <v>7872484</v>
      </c>
      <c r="AM61" s="4">
        <f ca="1">IFERROR(INDIRECT(ADDRESS(61,3)) / INDIRECT(ADDRESS(68,3)),0)</f>
        <v>7.4185158189444336E-2</v>
      </c>
      <c r="AN61" s="3">
        <f ca="1">INDIRECT(ADDRESS(61,9))</f>
        <v>7435124</v>
      </c>
      <c r="AO61" s="4">
        <f ca="1">IFERROR(INDIRECT(ADDRESS(61,9)) / INDIRECT(ADDRESS(68,9)),0)</f>
        <v>9.6039101426779752E-2</v>
      </c>
      <c r="AP61" s="4">
        <f ca="1">IFERROR((INDIRECT(ADDRESS(61,9)) - INDIRECT(ADDRESS(61,3)))/ INDIRECT(ADDRESS(61,3)),1)</f>
        <v>-5.5555527327842143E-2</v>
      </c>
      <c r="AQ61" s="3">
        <f ca="1">INDIRECT(ADDRESS(61,14))</f>
        <v>6997764</v>
      </c>
      <c r="AR61" s="4">
        <f ca="1">IFERROR(INDIRECT(ADDRESS(61,14)) / INDIRECT(ADDRESS(68,14)),0)</f>
        <v>0.12823814890954699</v>
      </c>
      <c r="AS61" s="4">
        <f ca="1">IFERROR((INDIRECT(ADDRESS(61,14)) - INDIRECT(ADDRESS(61,3)))/ INDIRECT(ADDRESS(61,3)),1)</f>
        <v>-0.11111105465568429</v>
      </c>
      <c r="AT61" s="3">
        <f ca="1">INDIRECT(ADDRESS(61,19))</f>
        <v>6560404</v>
      </c>
      <c r="AU61" s="4">
        <f ca="1">IFERROR(INDIRECT(ADDRESS(61,19)) / INDIRECT(ADDRESS(68,19)),0)</f>
        <v>0.16188416540281708</v>
      </c>
      <c r="AV61" s="4">
        <f ca="1">IFERROR((INDIRECT(ADDRESS(61,19)) - INDIRECT(ADDRESS(61,3)))/ INDIRECT(ADDRESS(61,3)),1)</f>
        <v>-0.16666658198352641</v>
      </c>
      <c r="AW61" s="3">
        <f ca="1">INDIRECT(ADDRESS(61,24))</f>
        <v>6297988</v>
      </c>
      <c r="AX61" s="4">
        <f ca="1">IFERROR(INDIRECT(ADDRESS(61,24)) / INDIRECT(ADDRESS(68,24)),0)</f>
        <v>0.1931531671327314</v>
      </c>
      <c r="AY61" s="4">
        <f ca="1">IFERROR((INDIRECT(ADDRESS(61,24)) - INDIRECT(ADDRESS(61,3)))/ INDIRECT(ADDRESS(61,3)),1)</f>
        <v>-0.19999989838023172</v>
      </c>
      <c r="AZ61" s="3">
        <f ca="1">INDIRECT(ADDRESS(61,29))</f>
        <v>6297988</v>
      </c>
      <c r="BA61" s="4">
        <f ca="1">IFERROR(INDIRECT(ADDRESS(61,29)) / INDIRECT(ADDRESS(68,29)),0)</f>
        <v>0.22838506770325082</v>
      </c>
      <c r="BB61" s="4">
        <f ca="1">IFERROR((INDIRECT(ADDRESS(61,29)) - INDIRECT(ADDRESS(61,3)))/ INDIRECT(ADDRESS(61,3)),1)</f>
        <v>-0.19999989838023172</v>
      </c>
      <c r="BC61" s="3">
        <f ca="1">INDIRECT(ADDRESS(61,34))</f>
        <v>6297988</v>
      </c>
      <c r="BD61" s="4">
        <f ca="1">IFERROR(INDIRECT(ADDRESS(61,34)) / INDIRECT(ADDRESS(68,34)),0)</f>
        <v>0.24936138645172681</v>
      </c>
      <c r="BE61" s="4">
        <f ca="1">IFERROR((INDIRECT(ADDRESS(61,34)) - INDIRECT(ADDRESS(61,3)))/ INDIRECT(ADDRESS(61,3)),1)</f>
        <v>-0.19999989838023172</v>
      </c>
    </row>
    <row r="62" spans="1:57" x14ac:dyDescent="0.25">
      <c r="A62" s="5"/>
      <c r="B62" s="1" t="s">
        <v>46</v>
      </c>
      <c r="C62">
        <v>21637454.120000001</v>
      </c>
      <c r="D62">
        <v>21621214.120000001</v>
      </c>
      <c r="E62">
        <v>21571369.890000001</v>
      </c>
      <c r="F62">
        <v>21508353.670000002</v>
      </c>
      <c r="G62">
        <v>21273349.649999999</v>
      </c>
      <c r="H62">
        <v>20847883.629999999</v>
      </c>
      <c r="I62">
        <v>20427735.609999999</v>
      </c>
      <c r="J62">
        <v>19904290.59</v>
      </c>
      <c r="K62">
        <v>19363907.57</v>
      </c>
      <c r="L62">
        <v>18797621.546</v>
      </c>
      <c r="M62">
        <v>17996754.423999999</v>
      </c>
      <c r="N62">
        <v>12491378.403000001</v>
      </c>
      <c r="O62">
        <v>11668778.482000001</v>
      </c>
      <c r="P62">
        <v>10860349.460000001</v>
      </c>
      <c r="Q62">
        <v>10087659.438999999</v>
      </c>
      <c r="R62">
        <v>9338336.5179999992</v>
      </c>
      <c r="S62">
        <v>8757049.4969999995</v>
      </c>
      <c r="T62">
        <v>8208834.7750000004</v>
      </c>
      <c r="U62">
        <v>7717149.2540000007</v>
      </c>
      <c r="V62">
        <v>7279247.3330000006</v>
      </c>
      <c r="W62">
        <v>6875408.5329999998</v>
      </c>
      <c r="X62">
        <v>6547883.1329999994</v>
      </c>
      <c r="Y62">
        <v>6345645.0329999998</v>
      </c>
      <c r="Z62">
        <v>6163369.9330000002</v>
      </c>
      <c r="AA62">
        <v>5996904.8329999996</v>
      </c>
      <c r="AB62">
        <v>5836701.4330000002</v>
      </c>
      <c r="AC62">
        <v>4519707.733</v>
      </c>
      <c r="AD62">
        <v>4387237.1329999994</v>
      </c>
      <c r="AE62">
        <v>4259558.8329999996</v>
      </c>
      <c r="AF62">
        <v>4135441.1329999999</v>
      </c>
      <c r="AG62">
        <v>4003319.4330000002</v>
      </c>
      <c r="AH62">
        <v>3895696.5329999998</v>
      </c>
      <c r="AK62" s="3" t="str">
        <f ca="1">INDIRECT(ADDRESS(62,2))</f>
        <v>Natural Gas</v>
      </c>
      <c r="AL62" s="3">
        <f ca="1">INDIRECT(ADDRESS(62,3))</f>
        <v>21637454.120000001</v>
      </c>
      <c r="AM62" s="4">
        <f ca="1">IFERROR(INDIRECT(ADDRESS(62,3)) / INDIRECT(ADDRESS(68,3)),0)</f>
        <v>0.20389726504481229</v>
      </c>
      <c r="AN62" s="3">
        <f ca="1">INDIRECT(ADDRESS(62,9))</f>
        <v>20427735.609999999</v>
      </c>
      <c r="AO62" s="4">
        <f ca="1">IFERROR(INDIRECT(ADDRESS(62,9)) / INDIRECT(ADDRESS(68,9)),0)</f>
        <v>0.26386397485344298</v>
      </c>
      <c r="AP62" s="4">
        <f ca="1">IFERROR((INDIRECT(ADDRESS(62,9)) - INDIRECT(ADDRESS(62,3)))/ INDIRECT(ADDRESS(62,3)),1)</f>
        <v>-5.5908541887182132E-2</v>
      </c>
      <c r="AQ62" s="3">
        <f ca="1">INDIRECT(ADDRESS(62,14))</f>
        <v>12491378.403000001</v>
      </c>
      <c r="AR62" s="4">
        <f ca="1">IFERROR(INDIRECT(ADDRESS(62,14)) / INDIRECT(ADDRESS(68,14)),0)</f>
        <v>0.22891187009584968</v>
      </c>
      <c r="AS62" s="4">
        <f ca="1">IFERROR((INDIRECT(ADDRESS(62,14)) - INDIRECT(ADDRESS(62,3)))/ INDIRECT(ADDRESS(62,3)),1)</f>
        <v>-0.42269648112372288</v>
      </c>
      <c r="AT62" s="3">
        <f ca="1">INDIRECT(ADDRESS(62,19))</f>
        <v>8757049.4969999995</v>
      </c>
      <c r="AU62" s="4">
        <f ca="1">IFERROR(INDIRECT(ADDRESS(62,19)) / INDIRECT(ADDRESS(68,19)),0)</f>
        <v>0.21608846790731243</v>
      </c>
      <c r="AV62" s="4">
        <f ca="1">IFERROR((INDIRECT(ADDRESS(62,19)) - INDIRECT(ADDRESS(62,3)))/ INDIRECT(ADDRESS(62,3)),1)</f>
        <v>-0.5952828161560072</v>
      </c>
      <c r="AW62" s="3">
        <f ca="1">INDIRECT(ADDRESS(62,24))</f>
        <v>6547883.1329999994</v>
      </c>
      <c r="AX62" s="4">
        <f ca="1">IFERROR(INDIRECT(ADDRESS(62,24)) / INDIRECT(ADDRESS(68,24)),0)</f>
        <v>0.20081720783747789</v>
      </c>
      <c r="AY62" s="4">
        <f ca="1">IFERROR((INDIRECT(ADDRESS(62,24)) - INDIRECT(ADDRESS(62,3)))/ INDIRECT(ADDRESS(62,3)),1)</f>
        <v>-0.69738199805366019</v>
      </c>
      <c r="AZ62" s="3">
        <f ca="1">INDIRECT(ADDRESS(62,29))</f>
        <v>4519707.733</v>
      </c>
      <c r="BA62" s="4">
        <f ca="1">IFERROR(INDIRECT(ADDRESS(62,29)) / INDIRECT(ADDRESS(68,29)),0)</f>
        <v>0.16389897163984932</v>
      </c>
      <c r="BB62" s="4">
        <f ca="1">IFERROR((INDIRECT(ADDRESS(62,29)) - INDIRECT(ADDRESS(62,3)))/ INDIRECT(ADDRESS(62,3)),1)</f>
        <v>-0.79111647294852827</v>
      </c>
      <c r="BC62" s="3">
        <f ca="1">INDIRECT(ADDRESS(62,34))</f>
        <v>3895696.5329999998</v>
      </c>
      <c r="BD62" s="4">
        <f ca="1">IFERROR(INDIRECT(ADDRESS(62,34)) / INDIRECT(ADDRESS(68,34)),0)</f>
        <v>0.15424549692124934</v>
      </c>
      <c r="BE62" s="4">
        <f ca="1">IFERROR((INDIRECT(ADDRESS(62,34)) - INDIRECT(ADDRESS(62,3)))/ INDIRECT(ADDRESS(62,3)),1)</f>
        <v>-0.81995587320972674</v>
      </c>
    </row>
    <row r="63" spans="1:57" x14ac:dyDescent="0.25">
      <c r="A63" s="5"/>
      <c r="B63" s="1" t="s">
        <v>47</v>
      </c>
      <c r="C63">
        <v>5790901</v>
      </c>
      <c r="D63">
        <v>5790901</v>
      </c>
      <c r="E63">
        <v>5790901</v>
      </c>
      <c r="F63">
        <v>5790901</v>
      </c>
      <c r="G63">
        <v>5790901</v>
      </c>
      <c r="H63">
        <v>5790901</v>
      </c>
      <c r="I63">
        <v>5790901</v>
      </c>
      <c r="J63">
        <v>5790901</v>
      </c>
      <c r="K63">
        <v>5790901</v>
      </c>
      <c r="L63">
        <v>5790901</v>
      </c>
      <c r="M63">
        <v>5790901</v>
      </c>
      <c r="N63">
        <v>5790901</v>
      </c>
      <c r="O63">
        <v>5790901</v>
      </c>
      <c r="P63">
        <v>5790901</v>
      </c>
      <c r="Q63">
        <v>5790901</v>
      </c>
      <c r="R63">
        <v>5790901</v>
      </c>
      <c r="S63">
        <v>5790901</v>
      </c>
      <c r="T63">
        <v>5790901</v>
      </c>
      <c r="U63">
        <v>5790901</v>
      </c>
      <c r="V63">
        <v>5790901</v>
      </c>
      <c r="W63">
        <v>5790901</v>
      </c>
      <c r="X63">
        <v>5790901</v>
      </c>
      <c r="Y63">
        <v>5790901</v>
      </c>
      <c r="Z63">
        <v>5790901</v>
      </c>
      <c r="AA63">
        <v>5790901</v>
      </c>
      <c r="AB63">
        <v>5790901</v>
      </c>
      <c r="AC63">
        <v>5790901</v>
      </c>
      <c r="AD63">
        <v>5790901</v>
      </c>
      <c r="AE63">
        <v>5790901</v>
      </c>
      <c r="AF63">
        <v>5790901</v>
      </c>
      <c r="AG63">
        <v>5790901</v>
      </c>
      <c r="AH63">
        <v>5790901</v>
      </c>
      <c r="AK63" s="3" t="str">
        <f ca="1">INDIRECT(ADDRESS(63,2))</f>
        <v>Non Energy</v>
      </c>
      <c r="AL63" s="3">
        <f ca="1">INDIRECT(ADDRESS(63,3))</f>
        <v>5790901</v>
      </c>
      <c r="AM63" s="4">
        <f ca="1">IFERROR(INDIRECT(ADDRESS(63,3)) / INDIRECT(ADDRESS(68,3)),0)</f>
        <v>5.4569676704888999E-2</v>
      </c>
      <c r="AN63" s="3">
        <f ca="1">INDIRECT(ADDRESS(63,9))</f>
        <v>5790901</v>
      </c>
      <c r="AO63" s="4">
        <f ca="1">IFERROR(INDIRECT(ADDRESS(63,9)) / INDIRECT(ADDRESS(68,9)),0)</f>
        <v>7.4800760349314988E-2</v>
      </c>
      <c r="AP63" s="4">
        <f ca="1">IFERROR((INDIRECT(ADDRESS(63,9)) - INDIRECT(ADDRESS(63,3)))/ INDIRECT(ADDRESS(63,3)),1)</f>
        <v>0</v>
      </c>
      <c r="AQ63" s="3">
        <f ca="1">INDIRECT(ADDRESS(63,14))</f>
        <v>5790901</v>
      </c>
      <c r="AR63" s="4">
        <f ca="1">IFERROR(INDIRECT(ADDRESS(63,14)) / INDIRECT(ADDRESS(68,14)),0)</f>
        <v>0.10612167325997912</v>
      </c>
      <c r="AS63" s="4">
        <f ca="1">IFERROR((INDIRECT(ADDRESS(63,14)) - INDIRECT(ADDRESS(63,3)))/ INDIRECT(ADDRESS(63,3)),1)</f>
        <v>0</v>
      </c>
      <c r="AT63" s="3">
        <f ca="1">INDIRECT(ADDRESS(63,19))</f>
        <v>5790901</v>
      </c>
      <c r="AU63" s="4">
        <f ca="1">IFERROR(INDIRECT(ADDRESS(63,19)) / INDIRECT(ADDRESS(68,19)),0)</f>
        <v>0.14289595203517022</v>
      </c>
      <c r="AV63" s="4">
        <f ca="1">IFERROR((INDIRECT(ADDRESS(63,19)) - INDIRECT(ADDRESS(63,3)))/ INDIRECT(ADDRESS(63,3)),1)</f>
        <v>0</v>
      </c>
      <c r="AW63" s="3">
        <f ca="1">INDIRECT(ADDRESS(63,24))</f>
        <v>5790901</v>
      </c>
      <c r="AX63" s="4">
        <f ca="1">IFERROR(INDIRECT(ADDRESS(63,24)) / INDIRECT(ADDRESS(68,24)),0)</f>
        <v>0.17760130198757149</v>
      </c>
      <c r="AY63" s="4">
        <f ca="1">IFERROR((INDIRECT(ADDRESS(63,24)) - INDIRECT(ADDRESS(63,3)))/ INDIRECT(ADDRESS(63,3)),1)</f>
        <v>0</v>
      </c>
      <c r="AZ63" s="3">
        <f ca="1">INDIRECT(ADDRESS(63,29))</f>
        <v>5790901</v>
      </c>
      <c r="BA63" s="4">
        <f ca="1">IFERROR(INDIRECT(ADDRESS(63,29)) / INDIRECT(ADDRESS(68,29)),0)</f>
        <v>0.20999648093134235</v>
      </c>
      <c r="BB63" s="4">
        <f ca="1">IFERROR((INDIRECT(ADDRESS(63,29)) - INDIRECT(ADDRESS(63,3)))/ INDIRECT(ADDRESS(63,3)),1)</f>
        <v>0</v>
      </c>
      <c r="BC63" s="3">
        <f ca="1">INDIRECT(ADDRESS(63,34))</f>
        <v>5790901</v>
      </c>
      <c r="BD63" s="4">
        <f ca="1">IFERROR(INDIRECT(ADDRESS(63,34)) / INDIRECT(ADDRESS(68,34)),0)</f>
        <v>0.22928387640063641</v>
      </c>
      <c r="BE63" s="4">
        <f ca="1">IFERROR((INDIRECT(ADDRESS(63,34)) - INDIRECT(ADDRESS(63,3)))/ INDIRECT(ADDRESS(63,3)),1)</f>
        <v>0</v>
      </c>
    </row>
    <row r="64" spans="1:57" x14ac:dyDescent="0.25">
      <c r="A64" s="5"/>
      <c r="B64" s="1" t="s">
        <v>48</v>
      </c>
      <c r="C64">
        <v>3801677</v>
      </c>
      <c r="D64">
        <v>3801677</v>
      </c>
      <c r="E64">
        <v>3801677</v>
      </c>
      <c r="F64">
        <v>3801677</v>
      </c>
      <c r="G64">
        <v>3801677</v>
      </c>
      <c r="H64">
        <v>3801677</v>
      </c>
      <c r="I64">
        <v>3746733</v>
      </c>
      <c r="J64">
        <v>3693429</v>
      </c>
      <c r="K64">
        <v>3641692</v>
      </c>
      <c r="L64">
        <v>3591456</v>
      </c>
      <c r="M64">
        <v>3542654</v>
      </c>
      <c r="N64">
        <v>3495228</v>
      </c>
      <c r="O64">
        <v>3449118</v>
      </c>
      <c r="P64">
        <v>3404272</v>
      </c>
      <c r="Q64">
        <v>3360638</v>
      </c>
      <c r="R64">
        <v>3318167</v>
      </c>
      <c r="S64">
        <v>3276815</v>
      </c>
      <c r="T64">
        <v>3236536</v>
      </c>
      <c r="U64">
        <v>3197290</v>
      </c>
      <c r="V64">
        <v>3159037</v>
      </c>
      <c r="W64">
        <v>3121741</v>
      </c>
      <c r="X64">
        <v>3085367</v>
      </c>
      <c r="Y64">
        <v>3049879</v>
      </c>
      <c r="Z64">
        <v>3015246</v>
      </c>
      <c r="AA64">
        <v>2981437</v>
      </c>
      <c r="AB64">
        <v>2948425</v>
      </c>
      <c r="AC64">
        <v>2916180</v>
      </c>
      <c r="AD64">
        <v>2884676</v>
      </c>
      <c r="AE64">
        <v>2853888</v>
      </c>
      <c r="AF64">
        <v>2823793</v>
      </c>
      <c r="AG64">
        <v>2794365</v>
      </c>
      <c r="AH64">
        <v>2765585</v>
      </c>
      <c r="AK64" s="3" t="str">
        <f ca="1">INDIRECT(ADDRESS(64,2))</f>
        <v>Other</v>
      </c>
      <c r="AL64" s="3">
        <f ca="1">INDIRECT(ADDRESS(64,3))</f>
        <v>3801677</v>
      </c>
      <c r="AM64" s="4">
        <f ca="1">IFERROR(INDIRECT(ADDRESS(64,3)) / INDIRECT(ADDRESS(68,3)),0)</f>
        <v>3.5824526239770338E-2</v>
      </c>
      <c r="AN64" s="3">
        <f ca="1">INDIRECT(ADDRESS(64,9))</f>
        <v>3746733</v>
      </c>
      <c r="AO64" s="4">
        <f ca="1">IFERROR(INDIRECT(ADDRESS(64,9)) / INDIRECT(ADDRESS(68,9)),0)</f>
        <v>4.8396350969541702E-2</v>
      </c>
      <c r="AP64" s="4">
        <f ca="1">IFERROR((INDIRECT(ADDRESS(64,9)) - INDIRECT(ADDRESS(64,3)))/ INDIRECT(ADDRESS(64,3)),1)</f>
        <v>-1.4452569221425177E-2</v>
      </c>
      <c r="AQ64" s="3">
        <f ca="1">INDIRECT(ADDRESS(64,14))</f>
        <v>3495228</v>
      </c>
      <c r="AR64" s="4">
        <f ca="1">IFERROR(INDIRECT(ADDRESS(64,14)) / INDIRECT(ADDRESS(68,14)),0)</f>
        <v>6.4052112751561516E-2</v>
      </c>
      <c r="AS64" s="4">
        <f ca="1">IFERROR((INDIRECT(ADDRESS(64,14)) - INDIRECT(ADDRESS(64,3)))/ INDIRECT(ADDRESS(64,3)),1)</f>
        <v>-8.0608899703999051E-2</v>
      </c>
      <c r="AT64" s="3">
        <f ca="1">INDIRECT(ADDRESS(64,19))</f>
        <v>3276815</v>
      </c>
      <c r="AU64" s="4">
        <f ca="1">IFERROR(INDIRECT(ADDRESS(64,19)) / INDIRECT(ADDRESS(68,19)),0)</f>
        <v>8.0858505277179887E-2</v>
      </c>
      <c r="AV64" s="4">
        <f ca="1">IFERROR((INDIRECT(ADDRESS(64,19)) - INDIRECT(ADDRESS(64,3)))/ INDIRECT(ADDRESS(64,3)),1)</f>
        <v>-0.13806065060235259</v>
      </c>
      <c r="AW64" s="3">
        <f ca="1">INDIRECT(ADDRESS(64,24))</f>
        <v>3085367</v>
      </c>
      <c r="AX64" s="4">
        <f ca="1">IFERROR(INDIRECT(ADDRESS(64,24)) / INDIRECT(ADDRESS(68,24)),0)</f>
        <v>9.4625205353966069E-2</v>
      </c>
      <c r="AY64" s="4">
        <f ca="1">IFERROR((INDIRECT(ADDRESS(64,24)) - INDIRECT(ADDRESS(64,3)))/ INDIRECT(ADDRESS(64,3)),1)</f>
        <v>-0.18841947908778153</v>
      </c>
      <c r="AZ64" s="3">
        <f ca="1">INDIRECT(ADDRESS(64,29))</f>
        <v>2916180</v>
      </c>
      <c r="BA64" s="4">
        <f ca="1">IFERROR(INDIRECT(ADDRESS(64,29)) / INDIRECT(ADDRESS(68,29)),0)</f>
        <v>0.10574995803975269</v>
      </c>
      <c r="BB64" s="4">
        <f ca="1">IFERROR((INDIRECT(ADDRESS(64,29)) - INDIRECT(ADDRESS(64,3)))/ INDIRECT(ADDRESS(64,3)),1)</f>
        <v>-0.23292273383562043</v>
      </c>
      <c r="BC64" s="3">
        <f ca="1">INDIRECT(ADDRESS(64,34))</f>
        <v>2765585</v>
      </c>
      <c r="BD64" s="4">
        <f ca="1">IFERROR(INDIRECT(ADDRESS(64,34)) / INDIRECT(ADDRESS(68,34)),0)</f>
        <v>0.10950006731516461</v>
      </c>
      <c r="BE64" s="4">
        <f ca="1">IFERROR((INDIRECT(ADDRESS(64,34)) - INDIRECT(ADDRESS(64,3)))/ INDIRECT(ADDRESS(64,3)),1)</f>
        <v>-0.2725355152476131</v>
      </c>
    </row>
    <row r="65" spans="1:57" x14ac:dyDescent="0.25">
      <c r="A65" s="5"/>
      <c r="B65" s="1" t="s">
        <v>49</v>
      </c>
      <c r="C65">
        <v>729368.12510000006</v>
      </c>
      <c r="D65">
        <v>728736.72509999992</v>
      </c>
      <c r="E65">
        <v>726780.01119999995</v>
      </c>
      <c r="F65">
        <v>723936.79739999992</v>
      </c>
      <c r="G65">
        <v>714457.00760000001</v>
      </c>
      <c r="H65">
        <v>697290.01769999997</v>
      </c>
      <c r="I65">
        <v>677556.56760000007</v>
      </c>
      <c r="J65">
        <v>653316.09070000006</v>
      </c>
      <c r="K65">
        <v>627602.47479999997</v>
      </c>
      <c r="L65">
        <v>599925.20869999996</v>
      </c>
      <c r="M65">
        <v>567323.28159999999</v>
      </c>
      <c r="N65">
        <v>534300.78350000002</v>
      </c>
      <c r="O65">
        <v>498352.78899999999</v>
      </c>
      <c r="P65">
        <v>462882.61359999998</v>
      </c>
      <c r="Q65">
        <v>428882.05829999998</v>
      </c>
      <c r="R65">
        <v>396681.09470000002</v>
      </c>
      <c r="S65">
        <v>368960.72499999998</v>
      </c>
      <c r="T65">
        <v>344044.4314</v>
      </c>
      <c r="U65">
        <v>321639.81699999998</v>
      </c>
      <c r="V65">
        <v>301443.44469999999</v>
      </c>
      <c r="W65">
        <v>282935.2084</v>
      </c>
      <c r="X65">
        <v>266070.7316</v>
      </c>
      <c r="Y65">
        <v>256320.82670000001</v>
      </c>
      <c r="Z65">
        <v>248046.9301</v>
      </c>
      <c r="AA65">
        <v>241101.05239999999</v>
      </c>
      <c r="AB65">
        <v>235115.63260000001</v>
      </c>
      <c r="AC65">
        <v>229835.37100000001</v>
      </c>
      <c r="AD65">
        <v>224730.45389999999</v>
      </c>
      <c r="AE65">
        <v>219864.3155</v>
      </c>
      <c r="AF65">
        <v>215170.16810000001</v>
      </c>
      <c r="AG65">
        <v>210523.59909999999</v>
      </c>
      <c r="AH65">
        <v>206178.43859999999</v>
      </c>
      <c r="AK65" s="3" t="str">
        <f ca="1">INDIRECT(ADDRESS(65,2))</f>
        <v>Propane</v>
      </c>
      <c r="AL65" s="3">
        <f ca="1">INDIRECT(ADDRESS(65,3))</f>
        <v>729368.12510000006</v>
      </c>
      <c r="AM65" s="4">
        <f ca="1">IFERROR(INDIRECT(ADDRESS(65,3)) / INDIRECT(ADDRESS(68,3)),0)</f>
        <v>6.8730898327493493E-3</v>
      </c>
      <c r="AN65" s="3">
        <f ca="1">INDIRECT(ADDRESS(65,9))</f>
        <v>677556.56760000007</v>
      </c>
      <c r="AO65" s="4">
        <f ca="1">IFERROR(INDIRECT(ADDRESS(65,9)) / INDIRECT(ADDRESS(68,9)),0)</f>
        <v>8.7519621620456029E-3</v>
      </c>
      <c r="AP65" s="4">
        <f ca="1">IFERROR((INDIRECT(ADDRESS(65,9)) - INDIRECT(ADDRESS(65,3)))/ INDIRECT(ADDRESS(65,3)),1)</f>
        <v>-7.1036223982089114E-2</v>
      </c>
      <c r="AQ65" s="3">
        <f ca="1">INDIRECT(ADDRESS(65,14))</f>
        <v>534300.78350000002</v>
      </c>
      <c r="AR65" s="4">
        <f ca="1">IFERROR(INDIRECT(ADDRESS(65,14)) / INDIRECT(ADDRESS(68,14)),0)</f>
        <v>9.79137670789707E-3</v>
      </c>
      <c r="AS65" s="4">
        <f ca="1">IFERROR((INDIRECT(ADDRESS(65,14)) - INDIRECT(ADDRESS(65,3)))/ INDIRECT(ADDRESS(65,3)),1)</f>
        <v>-0.26744703379141405</v>
      </c>
      <c r="AT65" s="3">
        <f ca="1">INDIRECT(ADDRESS(65,19))</f>
        <v>368960.72499999998</v>
      </c>
      <c r="AU65" s="4">
        <f ca="1">IFERROR(INDIRECT(ADDRESS(65,19)) / INDIRECT(ADDRESS(68,19)),0)</f>
        <v>9.1044543953456691E-3</v>
      </c>
      <c r="AV65" s="4">
        <f ca="1">IFERROR((INDIRECT(ADDRESS(65,19)) - INDIRECT(ADDRESS(65,3)))/ INDIRECT(ADDRESS(65,3)),1)</f>
        <v>-0.49413648293251972</v>
      </c>
      <c r="AW65" s="3">
        <f ca="1">INDIRECT(ADDRESS(65,24))</f>
        <v>266070.7316</v>
      </c>
      <c r="AX65" s="4">
        <f ca="1">IFERROR(INDIRECT(ADDRESS(65,24)) / INDIRECT(ADDRESS(68,24)),0)</f>
        <v>8.1601305829517162E-3</v>
      </c>
      <c r="AY65" s="4">
        <f ca="1">IFERROR((INDIRECT(ADDRESS(65,24)) - INDIRECT(ADDRESS(65,3)))/ INDIRECT(ADDRESS(65,3)),1)</f>
        <v>-0.63520378469580041</v>
      </c>
      <c r="AZ65" s="3">
        <f ca="1">INDIRECT(ADDRESS(65,29))</f>
        <v>229835.37100000001</v>
      </c>
      <c r="BA65" s="4">
        <f ca="1">IFERROR(INDIRECT(ADDRESS(65,29)) / INDIRECT(ADDRESS(68,29)),0)</f>
        <v>8.3345612545525291E-3</v>
      </c>
      <c r="BB65" s="4">
        <f ca="1">IFERROR((INDIRECT(ADDRESS(65,29)) - INDIRECT(ADDRESS(65,3)))/ INDIRECT(ADDRESS(65,3)),1)</f>
        <v>-0.68488426750416542</v>
      </c>
      <c r="BC65" s="3">
        <f ca="1">INDIRECT(ADDRESS(65,34))</f>
        <v>206178.43859999999</v>
      </c>
      <c r="BD65" s="4">
        <f ca="1">IFERROR(INDIRECT(ADDRESS(65,34)) / INDIRECT(ADDRESS(68,34)),0)</f>
        <v>8.1633914363997244E-3</v>
      </c>
      <c r="BE65" s="4">
        <f ca="1">IFERROR((INDIRECT(ADDRESS(65,34)) - INDIRECT(ADDRESS(65,3)))/ INDIRECT(ADDRESS(65,3)),1)</f>
        <v>-0.71731909922478188</v>
      </c>
    </row>
    <row r="66" spans="1:57" x14ac:dyDescent="0.25">
      <c r="A66" s="5"/>
      <c r="B66" s="1" t="s">
        <v>50</v>
      </c>
      <c r="C66">
        <v>147.99354122</v>
      </c>
      <c r="D66">
        <v>147.99354106000001</v>
      </c>
      <c r="E66">
        <v>165.63337098</v>
      </c>
      <c r="F66">
        <v>183.27311152999999</v>
      </c>
      <c r="G66">
        <v>200.91284168000001</v>
      </c>
      <c r="H66">
        <v>218.55267162999999</v>
      </c>
      <c r="I66">
        <v>236.19250137</v>
      </c>
      <c r="J66">
        <v>253.83224125000001</v>
      </c>
      <c r="K66">
        <v>271.47194130000003</v>
      </c>
      <c r="L66">
        <v>289.11184170000001</v>
      </c>
      <c r="M66">
        <v>306.75164130000002</v>
      </c>
      <c r="N66">
        <v>324.39134189999999</v>
      </c>
      <c r="O66">
        <v>342.0311413</v>
      </c>
      <c r="P66">
        <v>359.67094100000003</v>
      </c>
      <c r="Q66">
        <v>377.3107412</v>
      </c>
      <c r="R66">
        <v>394.95054149999999</v>
      </c>
      <c r="S66">
        <v>412.59024169999998</v>
      </c>
      <c r="T66">
        <v>430.23004159999999</v>
      </c>
      <c r="U66">
        <v>447.86994110000001</v>
      </c>
      <c r="V66">
        <v>465.5096413</v>
      </c>
      <c r="W66">
        <v>465.50964119999998</v>
      </c>
      <c r="X66">
        <v>465.50964160000001</v>
      </c>
      <c r="Y66">
        <v>465.50964110000001</v>
      </c>
      <c r="Z66">
        <v>465.50964119999998</v>
      </c>
      <c r="AA66">
        <v>465.50964199999999</v>
      </c>
      <c r="AB66">
        <v>465.50964119999998</v>
      </c>
      <c r="AC66">
        <v>465.50964190000002</v>
      </c>
      <c r="AD66">
        <v>465.50964169999997</v>
      </c>
      <c r="AE66">
        <v>465.50964169999997</v>
      </c>
      <c r="AF66">
        <v>465.50964149999999</v>
      </c>
      <c r="AG66">
        <v>465.50964169999997</v>
      </c>
      <c r="AH66">
        <v>465.50964169999997</v>
      </c>
      <c r="AK66" s="3" t="str">
        <f ca="1">INDIRECT(ADDRESS(66,2))</f>
        <v>RNG</v>
      </c>
      <c r="AL66" s="3">
        <f ca="1">INDIRECT(ADDRESS(66,3))</f>
        <v>147.99354122</v>
      </c>
      <c r="AM66" s="4">
        <f ca="1">IFERROR(INDIRECT(ADDRESS(66,3)) / INDIRECT(ADDRESS(68,3)),0)</f>
        <v>1.3945946751269042E-6</v>
      </c>
      <c r="AN66" s="3">
        <f ca="1">INDIRECT(ADDRESS(66,9))</f>
        <v>236.19250137</v>
      </c>
      <c r="AO66" s="4">
        <f ca="1">IFERROR(INDIRECT(ADDRESS(66,9)) / INDIRECT(ADDRESS(68,9)),0)</f>
        <v>3.050885983249001E-6</v>
      </c>
      <c r="AP66" s="4">
        <f ca="1">IFERROR((INDIRECT(ADDRESS(66,9)) - INDIRECT(ADDRESS(66,3)))/ INDIRECT(ADDRESS(66,3)),1)</f>
        <v>0.59596492808350143</v>
      </c>
      <c r="AQ66" s="3">
        <f ca="1">INDIRECT(ADDRESS(66,14))</f>
        <v>324.39134189999999</v>
      </c>
      <c r="AR66" s="4">
        <f ca="1">IFERROR(INDIRECT(ADDRESS(66,14)) / INDIRECT(ADDRESS(68,14)),0)</f>
        <v>5.9446624961259008E-6</v>
      </c>
      <c r="AS66" s="4">
        <f ca="1">IFERROR((INDIRECT(ADDRESS(66,14)) - INDIRECT(ADDRESS(66,3)))/ INDIRECT(ADDRESS(66,3)),1)</f>
        <v>1.1919290478884859</v>
      </c>
      <c r="AT66" s="3">
        <f ca="1">INDIRECT(ADDRESS(66,19))</f>
        <v>412.59024169999998</v>
      </c>
      <c r="AU66" s="4">
        <f ca="1">IFERROR(INDIRECT(ADDRESS(66,19)) / INDIRECT(ADDRESS(68,19)),0)</f>
        <v>1.0181053930665104E-5</v>
      </c>
      <c r="AV66" s="4">
        <f ca="1">IFERROR((INDIRECT(ADDRESS(66,19)) - INDIRECT(ADDRESS(66,3)))/ INDIRECT(ADDRESS(66,3)),1)</f>
        <v>1.787893568183921</v>
      </c>
      <c r="AW66" s="3">
        <f ca="1">INDIRECT(ADDRESS(66,24))</f>
        <v>465.50964160000001</v>
      </c>
      <c r="AX66" s="4">
        <f ca="1">IFERROR(INDIRECT(ADDRESS(66,24)) / INDIRECT(ADDRESS(68,24)),0)</f>
        <v>1.4276727997237006E-5</v>
      </c>
      <c r="AY66" s="4">
        <f ca="1">IFERROR((INDIRECT(ADDRESS(66,24)) - INDIRECT(ADDRESS(66,3)))/ INDIRECT(ADDRESS(66,3)),1)</f>
        <v>2.1454726859194215</v>
      </c>
      <c r="AZ66" s="3">
        <f ca="1">INDIRECT(ADDRESS(66,29))</f>
        <v>465.50964190000002</v>
      </c>
      <c r="BA66" s="4">
        <f ca="1">IFERROR(INDIRECT(ADDRESS(66,29)) / INDIRECT(ADDRESS(68,29)),0)</f>
        <v>1.6880859582750483E-5</v>
      </c>
      <c r="BB66" s="4">
        <f ca="1">IFERROR((INDIRECT(ADDRESS(66,29)) - INDIRECT(ADDRESS(66,3)))/ INDIRECT(ADDRESS(66,3)),1)</f>
        <v>2.1454726879465369</v>
      </c>
      <c r="BC66" s="3">
        <f ca="1">INDIRECT(ADDRESS(66,34))</f>
        <v>465.50964169999997</v>
      </c>
      <c r="BD66" s="4">
        <f ca="1">IFERROR(INDIRECT(ADDRESS(66,34)) / INDIRECT(ADDRESS(68,34)),0)</f>
        <v>1.8431303721277109E-5</v>
      </c>
      <c r="BE66" s="4">
        <f ca="1">IFERROR((INDIRECT(ADDRESS(66,34)) - INDIRECT(ADDRESS(66,3)))/ INDIRECT(ADDRESS(66,3)),1)</f>
        <v>2.1454726865951264</v>
      </c>
    </row>
    <row r="67" spans="1:57" x14ac:dyDescent="0.25">
      <c r="A67" s="5"/>
      <c r="B67" s="1" t="s">
        <v>51</v>
      </c>
      <c r="C67">
        <v>384783.25699999998</v>
      </c>
      <c r="D67">
        <v>384263.35700000002</v>
      </c>
      <c r="E67">
        <v>381739.75699999998</v>
      </c>
      <c r="F67">
        <v>378375.65700000001</v>
      </c>
      <c r="G67">
        <v>373053.75699999998</v>
      </c>
      <c r="H67">
        <v>366245.05699999997</v>
      </c>
      <c r="I67">
        <v>356073.15700000001</v>
      </c>
      <c r="J67">
        <v>345312.05699999997</v>
      </c>
      <c r="K67">
        <v>333889.45699999999</v>
      </c>
      <c r="L67">
        <v>321379.15700000001</v>
      </c>
      <c r="M67">
        <v>307337.25699999998</v>
      </c>
      <c r="N67">
        <v>291581.17700000003</v>
      </c>
      <c r="O67">
        <v>275341.75699999998</v>
      </c>
      <c r="P67">
        <v>259337.997</v>
      </c>
      <c r="Q67">
        <v>244242.897</v>
      </c>
      <c r="R67">
        <v>230575.057</v>
      </c>
      <c r="S67">
        <v>218668.51699999999</v>
      </c>
      <c r="T67">
        <v>208742.13699999999</v>
      </c>
      <c r="U67">
        <v>200740.00700000001</v>
      </c>
      <c r="V67">
        <v>194490.217</v>
      </c>
      <c r="W67">
        <v>189728.23800000001</v>
      </c>
      <c r="X67">
        <v>186113.01300000001</v>
      </c>
      <c r="Y67">
        <v>183527.33199999999</v>
      </c>
      <c r="Z67">
        <v>181468.15</v>
      </c>
      <c r="AA67">
        <v>179750.28</v>
      </c>
      <c r="AB67">
        <v>178270.78</v>
      </c>
      <c r="AC67">
        <v>176949.32610000001</v>
      </c>
      <c r="AD67">
        <v>175683.29920000001</v>
      </c>
      <c r="AE67">
        <v>174490.60870000001</v>
      </c>
      <c r="AF67">
        <v>173355.7</v>
      </c>
      <c r="AG67">
        <v>172270.63279999999</v>
      </c>
      <c r="AH67">
        <v>171229.82250000001</v>
      </c>
      <c r="AK67" s="3" t="str">
        <f ca="1">INDIRECT(ADDRESS(67,2))</f>
        <v>Wood</v>
      </c>
      <c r="AL67" s="3">
        <f ca="1">INDIRECT(ADDRESS(67,3))</f>
        <v>384783.25699999998</v>
      </c>
      <c r="AM67" s="4">
        <f ca="1">IFERROR(INDIRECT(ADDRESS(67,3)) / INDIRECT(ADDRESS(68,3)),0)</f>
        <v>3.6259466248765465E-3</v>
      </c>
      <c r="AN67" s="3">
        <f ca="1">INDIRECT(ADDRESS(67,9))</f>
        <v>356073.15700000001</v>
      </c>
      <c r="AO67" s="4">
        <f ca="1">IFERROR(INDIRECT(ADDRESS(67,9)) / INDIRECT(ADDRESS(68,9)),0)</f>
        <v>4.5993780386818931E-3</v>
      </c>
      <c r="AP67" s="4">
        <f ca="1">IFERROR((INDIRECT(ADDRESS(67,9)) - INDIRECT(ADDRESS(67,3)))/ INDIRECT(ADDRESS(67,3)),1)</f>
        <v>-7.4613693495504604E-2</v>
      </c>
      <c r="AQ67" s="3">
        <f ca="1">INDIRECT(ADDRESS(67,14))</f>
        <v>291581.17700000003</v>
      </c>
      <c r="AR67" s="4">
        <f ca="1">IFERROR(INDIRECT(ADDRESS(67,14)) / INDIRECT(ADDRESS(68,14)),0)</f>
        <v>5.3433968901133245E-3</v>
      </c>
      <c r="AS67" s="4">
        <f ca="1">IFERROR((INDIRECT(ADDRESS(67,14)) - INDIRECT(ADDRESS(67,3)))/ INDIRECT(ADDRESS(67,3)),1)</f>
        <v>-0.24221968680929368</v>
      </c>
      <c r="AT67" s="3">
        <f ca="1">INDIRECT(ADDRESS(67,19))</f>
        <v>218668.51699999999</v>
      </c>
      <c r="AU67" s="4">
        <f ca="1">IFERROR(INDIRECT(ADDRESS(67,19)) / INDIRECT(ADDRESS(68,19)),0)</f>
        <v>5.395852202763232E-3</v>
      </c>
      <c r="AV67" s="4">
        <f ca="1">IFERROR((INDIRECT(ADDRESS(67,19)) - INDIRECT(ADDRESS(67,3)))/ INDIRECT(ADDRESS(67,3)),1)</f>
        <v>-0.43170989635861418</v>
      </c>
      <c r="AW67" s="3">
        <f ca="1">INDIRECT(ADDRESS(67,24))</f>
        <v>186113.01300000001</v>
      </c>
      <c r="AX67" s="4">
        <f ca="1">IFERROR(INDIRECT(ADDRESS(67,24)) / INDIRECT(ADDRESS(68,24)),0)</f>
        <v>5.707905112801932E-3</v>
      </c>
      <c r="AY67" s="4">
        <f ca="1">IFERROR((INDIRECT(ADDRESS(67,24)) - INDIRECT(ADDRESS(67,3)))/ INDIRECT(ADDRESS(67,3)),1)</f>
        <v>-0.51631727832689978</v>
      </c>
      <c r="AZ67" s="3">
        <f ca="1">INDIRECT(ADDRESS(67,29))</f>
        <v>176949.32610000001</v>
      </c>
      <c r="BA67" s="4">
        <f ca="1">IFERROR(INDIRECT(ADDRESS(67,29)) / INDIRECT(ADDRESS(68,29)),0)</f>
        <v>6.416745128982956E-3</v>
      </c>
      <c r="BB67" s="4">
        <f ca="1">IFERROR((INDIRECT(ADDRESS(67,29)) - INDIRECT(ADDRESS(67,3)))/ INDIRECT(ADDRESS(67,3)),1)</f>
        <v>-0.5401324696931914</v>
      </c>
      <c r="BC67" s="3">
        <f ca="1">INDIRECT(ADDRESS(67,34))</f>
        <v>171229.82250000001</v>
      </c>
      <c r="BD67" s="4">
        <f ca="1">IFERROR(INDIRECT(ADDRESS(67,34)) / INDIRECT(ADDRESS(68,34)),0)</f>
        <v>6.7796423144158248E-3</v>
      </c>
      <c r="BE67" s="4">
        <f ca="1">IFERROR((INDIRECT(ADDRESS(67,34)) - INDIRECT(ADDRESS(67,3)))/ INDIRECT(ADDRESS(67,3)),1)</f>
        <v>-0.55499669129314533</v>
      </c>
    </row>
    <row r="68" spans="1:57" x14ac:dyDescent="0.25">
      <c r="A68" s="1" t="s">
        <v>21</v>
      </c>
      <c r="B68" s="1"/>
      <c r="C68">
        <v>106119393.58404119</v>
      </c>
      <c r="D68">
        <v>105322290.1316411</v>
      </c>
      <c r="E68">
        <v>103639612.5533233</v>
      </c>
      <c r="F68">
        <v>101746447.0185075</v>
      </c>
      <c r="G68">
        <v>99464959.236241683</v>
      </c>
      <c r="H68">
        <v>96508987.792171642</v>
      </c>
      <c r="I68">
        <v>77417675.608601376</v>
      </c>
      <c r="J68">
        <v>73840039.625941247</v>
      </c>
      <c r="K68">
        <v>70208503.206941307</v>
      </c>
      <c r="L68">
        <v>66559651.5004417</v>
      </c>
      <c r="M68">
        <v>62790225.085141301</v>
      </c>
      <c r="N68">
        <v>54568504.454441912</v>
      </c>
      <c r="O68">
        <v>51444327.400441296</v>
      </c>
      <c r="P68">
        <v>48524303.264940999</v>
      </c>
      <c r="Q68">
        <v>45759382.577341206</v>
      </c>
      <c r="R68">
        <v>42947386.7980415</v>
      </c>
      <c r="S68">
        <v>40525297.725541703</v>
      </c>
      <c r="T68">
        <v>38676495.735841602</v>
      </c>
      <c r="U68">
        <v>36902949.301641099</v>
      </c>
      <c r="V68">
        <v>35235191.096041299</v>
      </c>
      <c r="W68">
        <v>33847171.086941198</v>
      </c>
      <c r="X68">
        <v>32606185.5132416</v>
      </c>
      <c r="Y68">
        <v>31713850.489241101</v>
      </c>
      <c r="Z68">
        <v>30882676.653041199</v>
      </c>
      <c r="AA68">
        <v>30116872.829742</v>
      </c>
      <c r="AB68">
        <v>29408466.873941202</v>
      </c>
      <c r="AC68">
        <v>27576181.1546419</v>
      </c>
      <c r="AD68">
        <v>27032179.2088417</v>
      </c>
      <c r="AE68">
        <v>26535885.4546417</v>
      </c>
      <c r="AF68">
        <v>26079859.423541501</v>
      </c>
      <c r="AG68">
        <v>25645048.096041702</v>
      </c>
      <c r="AH68">
        <v>25256468.4918417</v>
      </c>
    </row>
    <row r="69" spans="1:57" x14ac:dyDescent="0.25">
      <c r="A69" s="5" t="s">
        <v>2</v>
      </c>
      <c r="B69" s="1" t="s">
        <v>40</v>
      </c>
      <c r="C69">
        <v>8510024.0999999996</v>
      </c>
      <c r="D69">
        <v>8510023.0999999996</v>
      </c>
      <c r="E69">
        <v>8510006.1999999993</v>
      </c>
      <c r="F69">
        <v>8509989.1999999993</v>
      </c>
      <c r="G69">
        <v>8503640.3000000007</v>
      </c>
      <c r="H69">
        <v>8497291.4000000004</v>
      </c>
      <c r="I69">
        <v>454601.7</v>
      </c>
      <c r="J69">
        <v>443739.3</v>
      </c>
      <c r="K69">
        <v>433196.6</v>
      </c>
      <c r="L69">
        <v>422959.9</v>
      </c>
      <c r="M69">
        <v>413015.8</v>
      </c>
      <c r="N69">
        <v>403352.3</v>
      </c>
      <c r="O69">
        <v>387535.5</v>
      </c>
      <c r="P69">
        <v>372144.8</v>
      </c>
      <c r="Q69">
        <v>357162.8</v>
      </c>
      <c r="R69">
        <v>342573.3</v>
      </c>
      <c r="S69">
        <v>328360.59999999998</v>
      </c>
      <c r="T69">
        <v>319345.7</v>
      </c>
      <c r="U69">
        <v>310553.5</v>
      </c>
      <c r="V69">
        <v>301975.40000000002</v>
      </c>
      <c r="W69">
        <v>293603.5</v>
      </c>
      <c r="X69">
        <v>285430.09999999998</v>
      </c>
      <c r="Y69">
        <v>277391.40000000002</v>
      </c>
      <c r="Z69">
        <v>269543.5</v>
      </c>
      <c r="AA69">
        <v>261879.6</v>
      </c>
      <c r="AB69">
        <v>254393.2</v>
      </c>
      <c r="AC69">
        <v>247078.1</v>
      </c>
      <c r="AD69">
        <v>239898.3</v>
      </c>
      <c r="AE69">
        <v>232882.5</v>
      </c>
      <c r="AF69">
        <v>226025.1</v>
      </c>
      <c r="AG69">
        <v>219320.8</v>
      </c>
      <c r="AH69">
        <v>212764.7</v>
      </c>
      <c r="AK69" s="3" t="str">
        <f ca="1">INDIRECT(ADDRESS(69,2))</f>
        <v>Coal</v>
      </c>
      <c r="AL69" s="3">
        <f ca="1">INDIRECT(ADDRESS(69,3))</f>
        <v>8510024.0999999996</v>
      </c>
      <c r="AM69" s="4">
        <f ca="1">IFERROR(INDIRECT(ADDRESS(69,3)) / INDIRECT(ADDRESS(82,3)),0)</f>
        <v>8.0192920564142608E-2</v>
      </c>
      <c r="AN69" s="3">
        <f ca="1">INDIRECT(ADDRESS(69,9))</f>
        <v>454601.7</v>
      </c>
      <c r="AO69" s="4">
        <f ca="1">IFERROR(INDIRECT(ADDRESS(69,9)) / INDIRECT(ADDRESS(82,9)),0)</f>
        <v>5.8441915480786488E-3</v>
      </c>
      <c r="AP69" s="4">
        <f ca="1">IFERROR((INDIRECT(ADDRESS(69,9)) - INDIRECT(ADDRESS(69,3)))/ INDIRECT(ADDRESS(69,3)),1)</f>
        <v>-0.9465804450542038</v>
      </c>
      <c r="AQ69" s="3">
        <f ca="1">INDIRECT(ADDRESS(69,14))</f>
        <v>403352.3</v>
      </c>
      <c r="AR69" s="4">
        <f ca="1">IFERROR(INDIRECT(ADDRESS(69,14)) / INDIRECT(ADDRESS(82,14)),0)</f>
        <v>7.5673020728406586E-3</v>
      </c>
      <c r="AS69" s="4">
        <f ca="1">IFERROR((INDIRECT(ADDRESS(69,14)) - INDIRECT(ADDRESS(69,3)))/ INDIRECT(ADDRESS(69,3)),1)</f>
        <v>-0.95260268416866178</v>
      </c>
      <c r="AT69" s="3">
        <f ca="1">INDIRECT(ADDRESS(69,19))</f>
        <v>328360.59999999998</v>
      </c>
      <c r="AU69" s="4">
        <f ca="1">IFERROR(INDIRECT(ADDRESS(69,19)) / INDIRECT(ADDRESS(82,19)),0)</f>
        <v>8.9311214908101167E-3</v>
      </c>
      <c r="AV69" s="4">
        <f ca="1">IFERROR((INDIRECT(ADDRESS(69,19)) - INDIRECT(ADDRESS(69,3)))/ INDIRECT(ADDRESS(69,3)),1)</f>
        <v>-0.96141484487687878</v>
      </c>
      <c r="AW69" s="3">
        <f ca="1">INDIRECT(ADDRESS(69,24))</f>
        <v>285430.09999999998</v>
      </c>
      <c r="AX69" s="4">
        <f ca="1">IFERROR(INDIRECT(ADDRESS(69,24)) / INDIRECT(ADDRESS(82,24)),0)</f>
        <v>1.0177422476088884E-2</v>
      </c>
      <c r="AY69" s="4">
        <f ca="1">IFERROR((INDIRECT(ADDRESS(69,24)) - INDIRECT(ADDRESS(69,3)))/ INDIRECT(ADDRESS(69,3)),1)</f>
        <v>-0.96645954269389212</v>
      </c>
      <c r="AZ69" s="3">
        <f ca="1">INDIRECT(ADDRESS(69,29))</f>
        <v>247078.1</v>
      </c>
      <c r="BA69" s="4">
        <f ca="1">IFERROR(INDIRECT(ADDRESS(69,29)) / INDIRECT(ADDRESS(82,29)),0)</f>
        <v>1.0820497813620164E-2</v>
      </c>
      <c r="BB69" s="4">
        <f ca="1">IFERROR((INDIRECT(ADDRESS(69,29)) - INDIRECT(ADDRESS(69,3)))/ INDIRECT(ADDRESS(69,3)),1)</f>
        <v>-0.97096622793347909</v>
      </c>
      <c r="BC69" s="3">
        <f ca="1">INDIRECT(ADDRESS(69,34))</f>
        <v>212764.7</v>
      </c>
      <c r="BD69" s="4">
        <f ca="1">IFERROR(INDIRECT(ADDRESS(69,34)) / INDIRECT(ADDRESS(82,34)),0)</f>
        <v>1.0274176524284537E-2</v>
      </c>
      <c r="BE69" s="4">
        <f ca="1">IFERROR((INDIRECT(ADDRESS(69,34)) - INDIRECT(ADDRESS(69,3)))/ INDIRECT(ADDRESS(69,3)),1)</f>
        <v>-0.97499834342419778</v>
      </c>
    </row>
    <row r="70" spans="1:57" x14ac:dyDescent="0.25">
      <c r="A70" s="5"/>
      <c r="B70" s="1" t="s">
        <v>41</v>
      </c>
      <c r="C70">
        <v>16213790</v>
      </c>
      <c r="D70">
        <v>15531020</v>
      </c>
      <c r="E70">
        <v>14818260</v>
      </c>
      <c r="F70">
        <v>14088080</v>
      </c>
      <c r="G70">
        <v>13373050</v>
      </c>
      <c r="H70">
        <v>12528840</v>
      </c>
      <c r="I70">
        <v>11750050</v>
      </c>
      <c r="J70">
        <v>10923790</v>
      </c>
      <c r="K70">
        <v>10137830</v>
      </c>
      <c r="L70">
        <v>9372473</v>
      </c>
      <c r="M70">
        <v>8628280</v>
      </c>
      <c r="N70">
        <v>7917861</v>
      </c>
      <c r="O70">
        <v>7235565</v>
      </c>
      <c r="P70">
        <v>6584524</v>
      </c>
      <c r="Q70">
        <v>5951586</v>
      </c>
      <c r="R70">
        <v>5324069</v>
      </c>
      <c r="S70">
        <v>4732364</v>
      </c>
      <c r="T70">
        <v>4407526</v>
      </c>
      <c r="U70">
        <v>4088349</v>
      </c>
      <c r="V70">
        <v>3778517</v>
      </c>
      <c r="W70">
        <v>3529889</v>
      </c>
      <c r="X70">
        <v>3287976</v>
      </c>
      <c r="Y70">
        <v>3185261</v>
      </c>
      <c r="Z70">
        <v>3087191</v>
      </c>
      <c r="AA70">
        <v>2994913</v>
      </c>
      <c r="AB70">
        <v>2908654</v>
      </c>
      <c r="AC70">
        <v>2827994</v>
      </c>
      <c r="AD70">
        <v>2752521</v>
      </c>
      <c r="AE70">
        <v>2681629</v>
      </c>
      <c r="AF70">
        <v>2614683</v>
      </c>
      <c r="AG70">
        <v>2550914</v>
      </c>
      <c r="AH70">
        <v>2489451</v>
      </c>
      <c r="AK70" s="3" t="str">
        <f ca="1">INDIRECT(ADDRESS(70,2))</f>
        <v>Diesel</v>
      </c>
      <c r="AL70" s="3">
        <f ca="1">INDIRECT(ADDRESS(70,3))</f>
        <v>16213790</v>
      </c>
      <c r="AM70" s="4">
        <f ca="1">IFERROR(INDIRECT(ADDRESS(70,3)) / INDIRECT(ADDRESS(82,3)),0)</f>
        <v>0.15278818934410418</v>
      </c>
      <c r="AN70" s="3">
        <f ca="1">INDIRECT(ADDRESS(70,9))</f>
        <v>11750050</v>
      </c>
      <c r="AO70" s="4">
        <f ca="1">IFERROR(INDIRECT(ADDRESS(70,9)) / INDIRECT(ADDRESS(82,9)),0)</f>
        <v>0.15105430291946009</v>
      </c>
      <c r="AP70" s="4">
        <f ca="1">IFERROR((INDIRECT(ADDRESS(70,9)) - INDIRECT(ADDRESS(70,3)))/ INDIRECT(ADDRESS(70,3)),1)</f>
        <v>-0.27530515690655916</v>
      </c>
      <c r="AQ70" s="3">
        <f ca="1">INDIRECT(ADDRESS(70,14))</f>
        <v>7917861</v>
      </c>
      <c r="AR70" s="4">
        <f ca="1">IFERROR(INDIRECT(ADDRESS(70,14)) / INDIRECT(ADDRESS(82,14)),0)</f>
        <v>0.14854717813128676</v>
      </c>
      <c r="AS70" s="4">
        <f ca="1">IFERROR((INDIRECT(ADDRESS(70,14)) - INDIRECT(ADDRESS(70,3)))/ INDIRECT(ADDRESS(70,3)),1)</f>
        <v>-0.51165884102359782</v>
      </c>
      <c r="AT70" s="3">
        <f ca="1">INDIRECT(ADDRESS(70,19))</f>
        <v>4732364</v>
      </c>
      <c r="AU70" s="4">
        <f ca="1">IFERROR(INDIRECT(ADDRESS(70,19)) / INDIRECT(ADDRESS(82,19)),0)</f>
        <v>0.12871616699060767</v>
      </c>
      <c r="AV70" s="4">
        <f ca="1">IFERROR((INDIRECT(ADDRESS(70,19)) - INDIRECT(ADDRESS(70,3)))/ INDIRECT(ADDRESS(70,3)),1)</f>
        <v>-0.70812721763387831</v>
      </c>
      <c r="AW70" s="3">
        <f ca="1">INDIRECT(ADDRESS(70,24))</f>
        <v>3287976</v>
      </c>
      <c r="AX70" s="4">
        <f ca="1">IFERROR(INDIRECT(ADDRESS(70,24)) / INDIRECT(ADDRESS(82,24)),0)</f>
        <v>0.11723753326380375</v>
      </c>
      <c r="AY70" s="4">
        <f ca="1">IFERROR((INDIRECT(ADDRESS(70,24)) - INDIRECT(ADDRESS(70,3)))/ INDIRECT(ADDRESS(70,3)),1)</f>
        <v>-0.7972111394066409</v>
      </c>
      <c r="AZ70" s="3">
        <f ca="1">INDIRECT(ADDRESS(70,29))</f>
        <v>2827994</v>
      </c>
      <c r="BA70" s="4">
        <f ca="1">IFERROR(INDIRECT(ADDRESS(70,29)) / INDIRECT(ADDRESS(82,29)),0)</f>
        <v>0.12384870570856318</v>
      </c>
      <c r="BB70" s="4">
        <f ca="1">IFERROR((INDIRECT(ADDRESS(70,29)) - INDIRECT(ADDRESS(70,3)))/ INDIRECT(ADDRESS(70,3)),1)</f>
        <v>-0.82558094066840637</v>
      </c>
      <c r="BC70" s="3">
        <f ca="1">INDIRECT(ADDRESS(70,34))</f>
        <v>2489451</v>
      </c>
      <c r="BD70" s="4">
        <f ca="1">IFERROR(INDIRECT(ADDRESS(70,34)) / INDIRECT(ADDRESS(82,34)),0)</f>
        <v>0.12021288786418359</v>
      </c>
      <c r="BE70" s="4">
        <f ca="1">IFERROR((INDIRECT(ADDRESS(70,34)) - INDIRECT(ADDRESS(70,3)))/ INDIRECT(ADDRESS(70,3)),1)</f>
        <v>-0.84646088298910993</v>
      </c>
    </row>
    <row r="71" spans="1:57" x14ac:dyDescent="0.25">
      <c r="A71" s="5"/>
      <c r="B71" s="1" t="s">
        <v>42</v>
      </c>
      <c r="C71">
        <v>6884914.7750000004</v>
      </c>
      <c r="D71">
        <v>6883513.2640000004</v>
      </c>
      <c r="E71">
        <v>6878768.4979999997</v>
      </c>
      <c r="F71">
        <v>6874016.54</v>
      </c>
      <c r="G71">
        <v>6750917.9500000002</v>
      </c>
      <c r="H71">
        <v>6624767.2249999996</v>
      </c>
      <c r="I71">
        <v>6407364.3940000003</v>
      </c>
      <c r="J71">
        <v>6197603.6409999998</v>
      </c>
      <c r="K71">
        <v>5991499.9129999997</v>
      </c>
      <c r="L71">
        <v>5788085.5870000003</v>
      </c>
      <c r="M71">
        <v>5586417.8130000001</v>
      </c>
      <c r="N71">
        <v>5379797.2960000001</v>
      </c>
      <c r="O71">
        <v>5065632.3219999997</v>
      </c>
      <c r="P71">
        <v>4758590.6370000001</v>
      </c>
      <c r="Q71">
        <v>4460156.0290000001</v>
      </c>
      <c r="R71">
        <v>4171082.0180000002</v>
      </c>
      <c r="S71">
        <v>3891619.1579999998</v>
      </c>
      <c r="T71">
        <v>3712535.7030000002</v>
      </c>
      <c r="U71">
        <v>3540375.9360000002</v>
      </c>
      <c r="V71">
        <v>3374780.4109999998</v>
      </c>
      <c r="W71">
        <v>3215256.747</v>
      </c>
      <c r="X71">
        <v>3061107.196</v>
      </c>
      <c r="Y71">
        <v>2909515.8849999998</v>
      </c>
      <c r="Z71">
        <v>2762587.85</v>
      </c>
      <c r="AA71">
        <v>2619961.3840000001</v>
      </c>
      <c r="AB71">
        <v>2481285.1880000001</v>
      </c>
      <c r="AC71">
        <v>2344754.0430000001</v>
      </c>
      <c r="AD71">
        <v>2211425.77</v>
      </c>
      <c r="AE71">
        <v>2081230.4349</v>
      </c>
      <c r="AF71">
        <v>1953952.2641</v>
      </c>
      <c r="AG71">
        <v>1829438.7712999999</v>
      </c>
      <c r="AH71">
        <v>1707576.2365000001</v>
      </c>
      <c r="AK71" s="3" t="str">
        <f ca="1">INDIRECT(ADDRESS(71,2))</f>
        <v>Fuel Oil</v>
      </c>
      <c r="AL71" s="3">
        <f ca="1">INDIRECT(ADDRESS(71,3))</f>
        <v>6884914.7750000004</v>
      </c>
      <c r="AM71" s="4">
        <f ca="1">IFERROR(INDIRECT(ADDRESS(71,3)) / INDIRECT(ADDRESS(82,3)),0)</f>
        <v>6.4878949478235526E-2</v>
      </c>
      <c r="AN71" s="3">
        <f ca="1">INDIRECT(ADDRESS(71,9))</f>
        <v>6407364.3940000003</v>
      </c>
      <c r="AO71" s="4">
        <f ca="1">IFERROR(INDIRECT(ADDRESS(71,9)) / INDIRECT(ADDRESS(82,9)),0)</f>
        <v>8.2370710089458246E-2</v>
      </c>
      <c r="AP71" s="4">
        <f ca="1">IFERROR((INDIRECT(ADDRESS(71,9)) - INDIRECT(ADDRESS(71,3)))/ INDIRECT(ADDRESS(71,3)),1)</f>
        <v>-6.9361843480480856E-2</v>
      </c>
      <c r="AQ71" s="3">
        <f ca="1">INDIRECT(ADDRESS(71,14))</f>
        <v>5379797.2960000001</v>
      </c>
      <c r="AR71" s="4">
        <f ca="1">IFERROR(INDIRECT(ADDRESS(71,14)) / INDIRECT(ADDRESS(82,14)),0)</f>
        <v>0.10093050474605791</v>
      </c>
      <c r="AS71" s="4">
        <f ca="1">IFERROR((INDIRECT(ADDRESS(71,14)) - INDIRECT(ADDRESS(71,3)))/ INDIRECT(ADDRESS(71,3)),1)</f>
        <v>-0.21861090923961368</v>
      </c>
      <c r="AT71" s="3">
        <f ca="1">INDIRECT(ADDRESS(71,19))</f>
        <v>3891619.1579999998</v>
      </c>
      <c r="AU71" s="4">
        <f ca="1">IFERROR(INDIRECT(ADDRESS(71,19)) / INDIRECT(ADDRESS(82,19)),0)</f>
        <v>0.10584864169471664</v>
      </c>
      <c r="AV71" s="4">
        <f ca="1">IFERROR((INDIRECT(ADDRESS(71,19)) - INDIRECT(ADDRESS(71,3)))/ INDIRECT(ADDRESS(71,3)),1)</f>
        <v>-0.43476146253386272</v>
      </c>
      <c r="AW71" s="3">
        <f ca="1">INDIRECT(ADDRESS(71,24))</f>
        <v>3061107.196</v>
      </c>
      <c r="AX71" s="4">
        <f ca="1">IFERROR(INDIRECT(ADDRESS(71,24)) / INDIRECT(ADDRESS(82,24)),0)</f>
        <v>0.10914819837952558</v>
      </c>
      <c r="AY71" s="4">
        <f ca="1">IFERROR((INDIRECT(ADDRESS(71,24)) - INDIRECT(ADDRESS(71,3)))/ INDIRECT(ADDRESS(71,3)),1)</f>
        <v>-0.55538923922264527</v>
      </c>
      <c r="AZ71" s="3">
        <f ca="1">INDIRECT(ADDRESS(71,29))</f>
        <v>2344754.0430000001</v>
      </c>
      <c r="BA71" s="4">
        <f ca="1">IFERROR(INDIRECT(ADDRESS(71,29)) / INDIRECT(ADDRESS(82,29)),0)</f>
        <v>0.10268577423801843</v>
      </c>
      <c r="BB71" s="4">
        <f ca="1">IFERROR((INDIRECT(ADDRESS(71,29)) - INDIRECT(ADDRESS(71,3)))/ INDIRECT(ADDRESS(71,3)),1)</f>
        <v>-0.65943601052055156</v>
      </c>
      <c r="BC71" s="3">
        <f ca="1">INDIRECT(ADDRESS(71,34))</f>
        <v>1707576.2365000001</v>
      </c>
      <c r="BD71" s="4">
        <f ca="1">IFERROR(INDIRECT(ADDRESS(71,34)) / INDIRECT(ADDRESS(82,34)),0)</f>
        <v>8.2457003828522502E-2</v>
      </c>
      <c r="BE71" s="4">
        <f ca="1">IFERROR((INDIRECT(ADDRESS(71,34)) - INDIRECT(ADDRESS(71,3)))/ INDIRECT(ADDRESS(71,3)),1)</f>
        <v>-0.75198295225085043</v>
      </c>
    </row>
    <row r="72" spans="1:57" x14ac:dyDescent="0.25">
      <c r="A72" s="5"/>
      <c r="B72" s="1" t="s">
        <v>25</v>
      </c>
      <c r="C72">
        <v>221100.7</v>
      </c>
      <c r="D72">
        <v>221117.6</v>
      </c>
      <c r="E72">
        <v>221611.4</v>
      </c>
      <c r="F72">
        <v>221939.6</v>
      </c>
      <c r="G72">
        <v>220510</v>
      </c>
      <c r="H72">
        <v>215403.2</v>
      </c>
      <c r="I72">
        <v>210438.1</v>
      </c>
      <c r="J72">
        <v>204526</v>
      </c>
      <c r="K72">
        <v>198559.1</v>
      </c>
      <c r="L72">
        <v>192475.2</v>
      </c>
      <c r="M72">
        <v>185073.7</v>
      </c>
      <c r="N72">
        <v>130011.2</v>
      </c>
      <c r="O72">
        <v>121885.4</v>
      </c>
      <c r="P72">
        <v>114077</v>
      </c>
      <c r="Q72">
        <v>106754.8</v>
      </c>
      <c r="R72">
        <v>99743.6</v>
      </c>
      <c r="S72">
        <v>94352.27</v>
      </c>
      <c r="T72">
        <v>90164.82</v>
      </c>
      <c r="U72">
        <v>86362.35</v>
      </c>
      <c r="V72">
        <v>82894.98</v>
      </c>
      <c r="W72">
        <v>79528.56</v>
      </c>
      <c r="X72">
        <v>76840.66</v>
      </c>
      <c r="Y72">
        <v>75202.179999999993</v>
      </c>
      <c r="Z72">
        <v>73725.25</v>
      </c>
      <c r="AA72">
        <v>72364.45</v>
      </c>
      <c r="AB72">
        <v>71025.98</v>
      </c>
      <c r="AC72">
        <v>58097.120000000003</v>
      </c>
      <c r="AD72">
        <v>57131.9</v>
      </c>
      <c r="AE72">
        <v>56204.66</v>
      </c>
      <c r="AF72">
        <v>55303.54</v>
      </c>
      <c r="AG72">
        <v>54246.71</v>
      </c>
      <c r="AH72">
        <v>53563.99</v>
      </c>
      <c r="AK72" s="3" t="str">
        <f ca="1">INDIRECT(ADDRESS(72,2))</f>
        <v>Fugitive</v>
      </c>
      <c r="AL72" s="3">
        <f ca="1">INDIRECT(ADDRESS(72,3))</f>
        <v>221100.7</v>
      </c>
      <c r="AM72" s="4">
        <f ca="1">IFERROR(INDIRECT(ADDRESS(72,3)) / INDIRECT(ADDRESS(82,3)),0)</f>
        <v>2.0835088906242141E-3</v>
      </c>
      <c r="AN72" s="3">
        <f ca="1">INDIRECT(ADDRESS(72,9))</f>
        <v>210438.1</v>
      </c>
      <c r="AO72" s="4">
        <f ca="1">IFERROR(INDIRECT(ADDRESS(72,9)) / INDIRECT(ADDRESS(82,9)),0)</f>
        <v>2.7053144882954231E-3</v>
      </c>
      <c r="AP72" s="4">
        <f ca="1">IFERROR((INDIRECT(ADDRESS(72,9)) - INDIRECT(ADDRESS(72,3)))/ INDIRECT(ADDRESS(72,3)),1)</f>
        <v>-4.8225084769066791E-2</v>
      </c>
      <c r="AQ72" s="3">
        <f ca="1">INDIRECT(ADDRESS(72,14))</f>
        <v>130011.2</v>
      </c>
      <c r="AR72" s="4">
        <f ca="1">IFERROR(INDIRECT(ADDRESS(72,14)) / INDIRECT(ADDRESS(82,14)),0)</f>
        <v>2.4391432086850661E-3</v>
      </c>
      <c r="AS72" s="4">
        <f ca="1">IFERROR((INDIRECT(ADDRESS(72,14)) - INDIRECT(ADDRESS(72,3)))/ INDIRECT(ADDRESS(72,3)),1)</f>
        <v>-0.41198196116068386</v>
      </c>
      <c r="AT72" s="3">
        <f ca="1">INDIRECT(ADDRESS(72,19))</f>
        <v>94352.27</v>
      </c>
      <c r="AU72" s="4">
        <f ca="1">IFERROR(INDIRECT(ADDRESS(72,19)) / INDIRECT(ADDRESS(82,19)),0)</f>
        <v>2.5662993255089642E-3</v>
      </c>
      <c r="AV72" s="4">
        <f ca="1">IFERROR((INDIRECT(ADDRESS(72,19)) - INDIRECT(ADDRESS(72,3)))/ INDIRECT(ADDRESS(72,3)),1)</f>
        <v>-0.57326109777128698</v>
      </c>
      <c r="AW72" s="3">
        <f ca="1">INDIRECT(ADDRESS(72,24))</f>
        <v>76840.66</v>
      </c>
      <c r="AX72" s="4">
        <f ca="1">IFERROR(INDIRECT(ADDRESS(72,24)) / INDIRECT(ADDRESS(82,24)),0)</f>
        <v>2.7398647170060347E-3</v>
      </c>
      <c r="AY72" s="4">
        <f ca="1">IFERROR((INDIRECT(ADDRESS(72,24)) - INDIRECT(ADDRESS(72,3)))/ INDIRECT(ADDRESS(72,3)),1)</f>
        <v>-0.65246306321056424</v>
      </c>
      <c r="AZ72" s="3">
        <f ca="1">INDIRECT(ADDRESS(72,29))</f>
        <v>58097.120000000003</v>
      </c>
      <c r="BA72" s="4">
        <f ca="1">IFERROR(INDIRECT(ADDRESS(72,29)) / INDIRECT(ADDRESS(82,29)),0)</f>
        <v>2.54429575076718E-3</v>
      </c>
      <c r="BB72" s="4">
        <f ca="1">IFERROR((INDIRECT(ADDRESS(72,29)) - INDIRECT(ADDRESS(72,3)))/ INDIRECT(ADDRESS(72,3)),1)</f>
        <v>-0.73723683371423065</v>
      </c>
      <c r="BC72" s="3">
        <f ca="1">INDIRECT(ADDRESS(72,34))</f>
        <v>53563.99</v>
      </c>
      <c r="BD72" s="4">
        <f ca="1">IFERROR(INDIRECT(ADDRESS(72,34)) / INDIRECT(ADDRESS(82,34)),0)</f>
        <v>2.5865469629361058E-3</v>
      </c>
      <c r="BE72" s="4">
        <f ca="1">IFERROR((INDIRECT(ADDRESS(72,34)) - INDIRECT(ADDRESS(72,3)))/ INDIRECT(ADDRESS(72,3)),1)</f>
        <v>-0.75773939205077145</v>
      </c>
    </row>
    <row r="73" spans="1:57" x14ac:dyDescent="0.25">
      <c r="A73" s="5"/>
      <c r="B73" s="1" t="s">
        <v>43</v>
      </c>
      <c r="C73">
        <v>24286310</v>
      </c>
      <c r="D73">
        <v>24217940</v>
      </c>
      <c r="E73">
        <v>23166380</v>
      </c>
      <c r="F73">
        <v>21963040</v>
      </c>
      <c r="G73">
        <v>20837070</v>
      </c>
      <c r="H73">
        <v>19453880</v>
      </c>
      <c r="I73">
        <v>17345270</v>
      </c>
      <c r="J73">
        <v>15824550</v>
      </c>
      <c r="K73">
        <v>14200710</v>
      </c>
      <c r="L73">
        <v>12547850</v>
      </c>
      <c r="M73">
        <v>10970820</v>
      </c>
      <c r="N73">
        <v>9602140</v>
      </c>
      <c r="O73">
        <v>8439760</v>
      </c>
      <c r="P73">
        <v>7435527</v>
      </c>
      <c r="Q73">
        <v>6526361</v>
      </c>
      <c r="R73">
        <v>5532054</v>
      </c>
      <c r="S73">
        <v>4700137</v>
      </c>
      <c r="T73">
        <v>4104683</v>
      </c>
      <c r="U73">
        <v>3513066</v>
      </c>
      <c r="V73">
        <v>2955847</v>
      </c>
      <c r="W73">
        <v>2488009</v>
      </c>
      <c r="X73">
        <v>2071096</v>
      </c>
      <c r="Y73">
        <v>1698902</v>
      </c>
      <c r="Z73">
        <v>1360282</v>
      </c>
      <c r="AA73">
        <v>1064796</v>
      </c>
      <c r="AB73">
        <v>814465.2</v>
      </c>
      <c r="AC73">
        <v>606112.19999999995</v>
      </c>
      <c r="AD73">
        <v>435967.4</v>
      </c>
      <c r="AE73">
        <v>300082.7</v>
      </c>
      <c r="AF73">
        <v>193213.5</v>
      </c>
      <c r="AG73">
        <v>109065.8</v>
      </c>
      <c r="AH73">
        <v>40572.46</v>
      </c>
      <c r="AK73" s="3" t="str">
        <f ca="1">INDIRECT(ADDRESS(73,2))</f>
        <v>Gasoline</v>
      </c>
      <c r="AL73" s="3">
        <f ca="1">INDIRECT(ADDRESS(73,3))</f>
        <v>24286310</v>
      </c>
      <c r="AM73" s="4">
        <f ca="1">IFERROR(INDIRECT(ADDRESS(73,3)) / INDIRECT(ADDRESS(82,3)),0)</f>
        <v>0.22885835642065247</v>
      </c>
      <c r="AN73" s="3">
        <f ca="1">INDIRECT(ADDRESS(73,9))</f>
        <v>17345270</v>
      </c>
      <c r="AO73" s="4">
        <f ca="1">IFERROR(INDIRECT(ADDRESS(73,9)) / INDIRECT(ADDRESS(82,9)),0)</f>
        <v>0.22298438464515671</v>
      </c>
      <c r="AP73" s="4">
        <f ca="1">IFERROR((INDIRECT(ADDRESS(73,9)) - INDIRECT(ADDRESS(73,3)))/ INDIRECT(ADDRESS(73,3)),1)</f>
        <v>-0.28580051889315422</v>
      </c>
      <c r="AQ73" s="3">
        <f ca="1">INDIRECT(ADDRESS(73,14))</f>
        <v>9602140</v>
      </c>
      <c r="AR73" s="4">
        <f ca="1">IFERROR(INDIRECT(ADDRESS(73,14)) / INDIRECT(ADDRESS(82,14)),0)</f>
        <v>0.1801459764223638</v>
      </c>
      <c r="AS73" s="4">
        <f ca="1">IFERROR((INDIRECT(ADDRESS(73,14)) - INDIRECT(ADDRESS(73,3)))/ INDIRECT(ADDRESS(73,3)),1)</f>
        <v>-0.60462746296164382</v>
      </c>
      <c r="AT73" s="3">
        <f ca="1">INDIRECT(ADDRESS(73,19))</f>
        <v>4700137</v>
      </c>
      <c r="AU73" s="4">
        <f ca="1">IFERROR(INDIRECT(ADDRESS(73,19)) / INDIRECT(ADDRESS(82,19)),0)</f>
        <v>0.12783962074150124</v>
      </c>
      <c r="AV73" s="4">
        <f ca="1">IFERROR((INDIRECT(ADDRESS(73,19)) - INDIRECT(ADDRESS(73,3)))/ INDIRECT(ADDRESS(73,3)),1)</f>
        <v>-0.80646969424338233</v>
      </c>
      <c r="AW73" s="3">
        <f ca="1">INDIRECT(ADDRESS(73,24))</f>
        <v>2071096</v>
      </c>
      <c r="AX73" s="4">
        <f ca="1">IFERROR(INDIRECT(ADDRESS(73,24)) / INDIRECT(ADDRESS(82,24)),0)</f>
        <v>7.3847919264778961E-2</v>
      </c>
      <c r="AY73" s="4">
        <f ca="1">IFERROR((INDIRECT(ADDRESS(73,24)) - INDIRECT(ADDRESS(73,3)))/ INDIRECT(ADDRESS(73,3)),1)</f>
        <v>-0.91472166829790114</v>
      </c>
      <c r="AZ73" s="3">
        <f ca="1">INDIRECT(ADDRESS(73,29))</f>
        <v>606112.19999999995</v>
      </c>
      <c r="BA73" s="4">
        <f ca="1">IFERROR(INDIRECT(ADDRESS(73,29)) / INDIRECT(ADDRESS(82,29)),0)</f>
        <v>2.6543978340891027E-2</v>
      </c>
      <c r="BB73" s="4">
        <f ca="1">IFERROR((INDIRECT(ADDRESS(73,29)) - INDIRECT(ADDRESS(73,3)))/ INDIRECT(ADDRESS(73,3)),1)</f>
        <v>-0.97504305100280775</v>
      </c>
      <c r="BC73" s="3">
        <f ca="1">INDIRECT(ADDRESS(73,34))</f>
        <v>40572.46</v>
      </c>
      <c r="BD73" s="4">
        <f ca="1">IFERROR(INDIRECT(ADDRESS(73,34)) / INDIRECT(ADDRESS(82,34)),0)</f>
        <v>1.9592000743754645E-3</v>
      </c>
      <c r="BE73" s="4">
        <f ca="1">IFERROR((INDIRECT(ADDRESS(73,34)) - INDIRECT(ADDRESS(73,3)))/ INDIRECT(ADDRESS(73,3)),1)</f>
        <v>-0.99832941027270095</v>
      </c>
    </row>
    <row r="74" spans="1:57" x14ac:dyDescent="0.25">
      <c r="A74" s="5"/>
      <c r="B74" s="1" t="s">
        <v>44</v>
      </c>
      <c r="C74">
        <v>9786438.5133999996</v>
      </c>
      <c r="D74">
        <v>9728744.0730000008</v>
      </c>
      <c r="E74">
        <v>9804489.1209999993</v>
      </c>
      <c r="F74">
        <v>10159357.706</v>
      </c>
      <c r="G74">
        <v>10385718.675000001</v>
      </c>
      <c r="H74">
        <v>10561719.35</v>
      </c>
      <c r="I74">
        <v>3376642.952</v>
      </c>
      <c r="J74">
        <v>3166515.946</v>
      </c>
      <c r="K74">
        <v>2916370.1239999998</v>
      </c>
      <c r="L74">
        <v>2623506.6</v>
      </c>
      <c r="M74">
        <v>2280918.2710000002</v>
      </c>
      <c r="N74">
        <v>1962586.166</v>
      </c>
      <c r="O74">
        <v>1936647.4639999999</v>
      </c>
      <c r="P74">
        <v>1894120.1440000001</v>
      </c>
      <c r="Q74">
        <v>1838206.95</v>
      </c>
      <c r="R74">
        <v>1771397.85</v>
      </c>
      <c r="S74">
        <v>1702360.73</v>
      </c>
      <c r="T74">
        <v>1587121.32</v>
      </c>
      <c r="U74">
        <v>1474382.1</v>
      </c>
      <c r="V74">
        <v>1363334.38</v>
      </c>
      <c r="W74">
        <v>1254324.27</v>
      </c>
      <c r="X74">
        <v>1151481.06</v>
      </c>
      <c r="Y74">
        <v>1078924.1499999999</v>
      </c>
      <c r="Z74">
        <v>1004013.559</v>
      </c>
      <c r="AA74">
        <v>925115.11700000009</v>
      </c>
      <c r="AB74">
        <v>842362.43599999999</v>
      </c>
      <c r="AC74">
        <v>754749.22600000002</v>
      </c>
      <c r="AD74">
        <v>754749.33</v>
      </c>
      <c r="AE74">
        <v>754749.43700000003</v>
      </c>
      <c r="AF74">
        <v>754749.64899999998</v>
      </c>
      <c r="AG74">
        <v>754749.55299999996</v>
      </c>
      <c r="AH74">
        <v>754749.75</v>
      </c>
      <c r="AK74" s="3" t="str">
        <f ca="1">INDIRECT(ADDRESS(74,2))</f>
        <v>Grid Electricity</v>
      </c>
      <c r="AL74" s="3">
        <f ca="1">INDIRECT(ADDRESS(74,3))</f>
        <v>9786438.5133999996</v>
      </c>
      <c r="AM74" s="4">
        <f ca="1">IFERROR(INDIRECT(ADDRESS(74,3)) / INDIRECT(ADDRESS(82,3)),0)</f>
        <v>9.2221018071024272E-2</v>
      </c>
      <c r="AN74" s="3">
        <f ca="1">INDIRECT(ADDRESS(74,9))</f>
        <v>3376642.952</v>
      </c>
      <c r="AO74" s="4">
        <f ca="1">IFERROR(INDIRECT(ADDRESS(74,9)) / INDIRECT(ADDRESS(82,9)),0)</f>
        <v>4.3408874627960559E-2</v>
      </c>
      <c r="AP74" s="4">
        <f ca="1">IFERROR((INDIRECT(ADDRESS(74,9)) - INDIRECT(ADDRESS(74,3)))/ INDIRECT(ADDRESS(74,3)),1)</f>
        <v>-0.65496713156920572</v>
      </c>
      <c r="AQ74" s="3">
        <f ca="1">INDIRECT(ADDRESS(74,14))</f>
        <v>1962586.166</v>
      </c>
      <c r="AR74" s="4">
        <f ca="1">IFERROR(INDIRECT(ADDRESS(74,14)) / INDIRECT(ADDRESS(82,14)),0)</f>
        <v>3.6820125637315571E-2</v>
      </c>
      <c r="AS74" s="4">
        <f ca="1">IFERROR((INDIRECT(ADDRESS(74,14)) - INDIRECT(ADDRESS(74,3)))/ INDIRECT(ADDRESS(74,3)),1)</f>
        <v>-0.7994585912625165</v>
      </c>
      <c r="AT74" s="3">
        <f ca="1">INDIRECT(ADDRESS(74,19))</f>
        <v>1702360.73</v>
      </c>
      <c r="AU74" s="4">
        <f ca="1">IFERROR(INDIRECT(ADDRESS(74,19)) / INDIRECT(ADDRESS(82,19)),0)</f>
        <v>4.6302724811728931E-2</v>
      </c>
      <c r="AV74" s="4">
        <f ca="1">IFERROR((INDIRECT(ADDRESS(74,19)) - INDIRECT(ADDRESS(74,3)))/ INDIRECT(ADDRESS(74,3)),1)</f>
        <v>-0.82604900366266465</v>
      </c>
      <c r="AW74" s="3">
        <f ca="1">INDIRECT(ADDRESS(74,24))</f>
        <v>1151481.06</v>
      </c>
      <c r="AX74" s="4">
        <f ca="1">IFERROR(INDIRECT(ADDRESS(74,24)) / INDIRECT(ADDRESS(82,24)),0)</f>
        <v>4.1057720334451958E-2</v>
      </c>
      <c r="AY74" s="4">
        <f ca="1">IFERROR((INDIRECT(ADDRESS(74,24)) - INDIRECT(ADDRESS(74,3)))/ INDIRECT(ADDRESS(74,3)),1)</f>
        <v>-0.882339110553513</v>
      </c>
      <c r="AZ74" s="3">
        <f ca="1">INDIRECT(ADDRESS(74,29))</f>
        <v>754749.22600000002</v>
      </c>
      <c r="BA74" s="4">
        <f ca="1">IFERROR(INDIRECT(ADDRESS(74,29)) / INDIRECT(ADDRESS(82,29)),0)</f>
        <v>3.3053363894916268E-2</v>
      </c>
      <c r="BB74" s="4">
        <f ca="1">IFERROR((INDIRECT(ADDRESS(74,29)) - INDIRECT(ADDRESS(74,3)))/ INDIRECT(ADDRESS(74,3)),1)</f>
        <v>-0.922878049561486</v>
      </c>
      <c r="BC74" s="3">
        <f ca="1">INDIRECT(ADDRESS(74,34))</f>
        <v>754749.75</v>
      </c>
      <c r="BD74" s="4">
        <f ca="1">IFERROR(INDIRECT(ADDRESS(74,34)) / INDIRECT(ADDRESS(82,34)),0)</f>
        <v>3.6446046562985411E-2</v>
      </c>
      <c r="BE74" s="4">
        <f ca="1">IFERROR((INDIRECT(ADDRESS(74,34)) - INDIRECT(ADDRESS(74,3)))/ INDIRECT(ADDRESS(74,3)),1)</f>
        <v>-0.92287799601800335</v>
      </c>
    </row>
    <row r="75" spans="1:57" x14ac:dyDescent="0.25">
      <c r="A75" s="5"/>
      <c r="B75" s="1" t="s">
        <v>45</v>
      </c>
      <c r="C75">
        <v>7872484</v>
      </c>
      <c r="D75">
        <v>7872484</v>
      </c>
      <c r="E75">
        <v>7785012</v>
      </c>
      <c r="F75">
        <v>7697540</v>
      </c>
      <c r="G75">
        <v>7610068</v>
      </c>
      <c r="H75">
        <v>7522596</v>
      </c>
      <c r="I75">
        <v>7435124</v>
      </c>
      <c r="J75">
        <v>7347652</v>
      </c>
      <c r="K75">
        <v>7260180</v>
      </c>
      <c r="L75">
        <v>7172708</v>
      </c>
      <c r="M75">
        <v>7085236</v>
      </c>
      <c r="N75">
        <v>6997764</v>
      </c>
      <c r="O75">
        <v>6910292</v>
      </c>
      <c r="P75">
        <v>6822820</v>
      </c>
      <c r="Q75">
        <v>6735348</v>
      </c>
      <c r="R75">
        <v>6647876</v>
      </c>
      <c r="S75">
        <v>6560404</v>
      </c>
      <c r="T75">
        <v>6472932</v>
      </c>
      <c r="U75">
        <v>6385459</v>
      </c>
      <c r="V75">
        <v>6297988</v>
      </c>
      <c r="W75">
        <v>6297988</v>
      </c>
      <c r="X75">
        <v>6297988</v>
      </c>
      <c r="Y75">
        <v>6297988</v>
      </c>
      <c r="Z75">
        <v>6297988</v>
      </c>
      <c r="AA75">
        <v>6297988</v>
      </c>
      <c r="AB75">
        <v>6297988</v>
      </c>
      <c r="AC75">
        <v>6297988</v>
      </c>
      <c r="AD75">
        <v>6297988</v>
      </c>
      <c r="AE75">
        <v>6297988</v>
      </c>
      <c r="AF75">
        <v>6297988</v>
      </c>
      <c r="AG75">
        <v>6297988</v>
      </c>
      <c r="AH75">
        <v>6297988</v>
      </c>
      <c r="AK75" s="3" t="str">
        <f ca="1">INDIRECT(ADDRESS(75,2))</f>
        <v>Jet Fuel</v>
      </c>
      <c r="AL75" s="3">
        <f ca="1">INDIRECT(ADDRESS(75,3))</f>
        <v>7872484</v>
      </c>
      <c r="AM75" s="4">
        <f ca="1">IFERROR(INDIRECT(ADDRESS(75,3)) / INDIRECT(ADDRESS(82,3)),0)</f>
        <v>7.4185158189444336E-2</v>
      </c>
      <c r="AN75" s="3">
        <f ca="1">INDIRECT(ADDRESS(75,9))</f>
        <v>7435124</v>
      </c>
      <c r="AO75" s="4">
        <f ca="1">IFERROR(INDIRECT(ADDRESS(75,9)) / INDIRECT(ADDRESS(82,9)),0)</f>
        <v>9.5583207981221163E-2</v>
      </c>
      <c r="AP75" s="4">
        <f ca="1">IFERROR((INDIRECT(ADDRESS(75,9)) - INDIRECT(ADDRESS(75,3)))/ INDIRECT(ADDRESS(75,3)),1)</f>
        <v>-5.5555527327842143E-2</v>
      </c>
      <c r="AQ75" s="3">
        <f ca="1">INDIRECT(ADDRESS(75,14))</f>
        <v>6997764</v>
      </c>
      <c r="AR75" s="4">
        <f ca="1">IFERROR(INDIRECT(ADDRESS(75,14)) / INDIRECT(ADDRESS(82,14)),0)</f>
        <v>0.1312852164781253</v>
      </c>
      <c r="AS75" s="4">
        <f ca="1">IFERROR((INDIRECT(ADDRESS(75,14)) - INDIRECT(ADDRESS(75,3)))/ INDIRECT(ADDRESS(75,3)),1)</f>
        <v>-0.11111105465568429</v>
      </c>
      <c r="AT75" s="3">
        <f ca="1">INDIRECT(ADDRESS(75,19))</f>
        <v>6560404</v>
      </c>
      <c r="AU75" s="4">
        <f ca="1">IFERROR(INDIRECT(ADDRESS(75,19)) / INDIRECT(ADDRESS(82,19)),0)</f>
        <v>0.17843725816311901</v>
      </c>
      <c r="AV75" s="4">
        <f ca="1">IFERROR((INDIRECT(ADDRESS(75,19)) - INDIRECT(ADDRESS(75,3)))/ INDIRECT(ADDRESS(75,3)),1)</f>
        <v>-0.16666658198352641</v>
      </c>
      <c r="AW75" s="3">
        <f ca="1">INDIRECT(ADDRESS(75,24))</f>
        <v>6297988</v>
      </c>
      <c r="AX75" s="4">
        <f ca="1">IFERROR(INDIRECT(ADDRESS(75,24)) / INDIRECT(ADDRESS(82,24)),0)</f>
        <v>0.2245638586306703</v>
      </c>
      <c r="AY75" s="4">
        <f ca="1">IFERROR((INDIRECT(ADDRESS(75,24)) - INDIRECT(ADDRESS(75,3)))/ INDIRECT(ADDRESS(75,3)),1)</f>
        <v>-0.19999989838023172</v>
      </c>
      <c r="AZ75" s="3">
        <f ca="1">INDIRECT(ADDRESS(75,29))</f>
        <v>6297988</v>
      </c>
      <c r="BA75" s="4">
        <f ca="1">IFERROR(INDIRECT(ADDRESS(75,29)) / INDIRECT(ADDRESS(82,29)),0)</f>
        <v>0.27581305418896307</v>
      </c>
      <c r="BB75" s="4">
        <f ca="1">IFERROR((INDIRECT(ADDRESS(75,29)) - INDIRECT(ADDRESS(75,3)))/ INDIRECT(ADDRESS(75,3)),1)</f>
        <v>-0.19999989838023172</v>
      </c>
      <c r="BC75" s="3">
        <f ca="1">INDIRECT(ADDRESS(75,34))</f>
        <v>6297988</v>
      </c>
      <c r="BD75" s="4">
        <f ca="1">IFERROR(INDIRECT(ADDRESS(75,34)) / INDIRECT(ADDRESS(82,34)),0)</f>
        <v>0.30412300752815535</v>
      </c>
      <c r="BE75" s="4">
        <f ca="1">IFERROR((INDIRECT(ADDRESS(75,34)) - INDIRECT(ADDRESS(75,3)))/ INDIRECT(ADDRESS(75,3)),1)</f>
        <v>-0.19999989838023172</v>
      </c>
    </row>
    <row r="76" spans="1:57" x14ac:dyDescent="0.25">
      <c r="A76" s="5"/>
      <c r="B76" s="1" t="s">
        <v>46</v>
      </c>
      <c r="C76">
        <v>21637454.120000001</v>
      </c>
      <c r="D76">
        <v>21641620.859999999</v>
      </c>
      <c r="E76">
        <v>21699280.300000001</v>
      </c>
      <c r="F76">
        <v>21733022.100000001</v>
      </c>
      <c r="G76">
        <v>21494915.300000001</v>
      </c>
      <c r="H76">
        <v>20852217.100000001</v>
      </c>
      <c r="I76">
        <v>20222227.399999999</v>
      </c>
      <c r="J76">
        <v>19333065.800000001</v>
      </c>
      <c r="K76">
        <v>18436314</v>
      </c>
      <c r="L76">
        <v>17525771.100000001</v>
      </c>
      <c r="M76">
        <v>16482003.699999999</v>
      </c>
      <c r="N76">
        <v>10745102.5</v>
      </c>
      <c r="O76">
        <v>9514498.8000000007</v>
      </c>
      <c r="P76">
        <v>8308667.2000000002</v>
      </c>
      <c r="Q76">
        <v>7143353.4000000004</v>
      </c>
      <c r="R76">
        <v>5999235.7999999998</v>
      </c>
      <c r="S76">
        <v>5010608</v>
      </c>
      <c r="T76">
        <v>4418637.2</v>
      </c>
      <c r="U76">
        <v>3861675.1</v>
      </c>
      <c r="V76">
        <v>3334586.65</v>
      </c>
      <c r="W76">
        <v>2811848.17</v>
      </c>
      <c r="X76">
        <v>2357182.86</v>
      </c>
      <c r="Y76">
        <v>2174145.4</v>
      </c>
      <c r="Z76">
        <v>2008116.79</v>
      </c>
      <c r="AA76">
        <v>1854218.01</v>
      </c>
      <c r="AB76">
        <v>1701820.03</v>
      </c>
      <c r="AC76">
        <v>416541.77399999998</v>
      </c>
      <c r="AD76">
        <v>306118.69699999999</v>
      </c>
      <c r="AE76">
        <v>199631.16099999999</v>
      </c>
      <c r="AF76">
        <v>110693.511255893</v>
      </c>
      <c r="AG76">
        <v>60066.208073192</v>
      </c>
      <c r="AH76">
        <v>8720.8389266960003</v>
      </c>
      <c r="AK76" s="3" t="str">
        <f ca="1">INDIRECT(ADDRESS(76,2))</f>
        <v>Natural Gas</v>
      </c>
      <c r="AL76" s="3">
        <f ca="1">INDIRECT(ADDRESS(76,3))</f>
        <v>21637454.120000001</v>
      </c>
      <c r="AM76" s="4">
        <f ca="1">IFERROR(INDIRECT(ADDRESS(76,3)) / INDIRECT(ADDRESS(82,3)),0)</f>
        <v>0.20389726504481229</v>
      </c>
      <c r="AN76" s="3">
        <f ca="1">INDIRECT(ADDRESS(76,9))</f>
        <v>20222227.399999999</v>
      </c>
      <c r="AO76" s="4">
        <f ca="1">IFERROR(INDIRECT(ADDRESS(76,9)) / INDIRECT(ADDRESS(82,9)),0)</f>
        <v>0.2599694863754457</v>
      </c>
      <c r="AP76" s="4">
        <f ca="1">IFERROR((INDIRECT(ADDRESS(76,9)) - INDIRECT(ADDRESS(76,3)))/ INDIRECT(ADDRESS(76,3)),1)</f>
        <v>-6.5406341806722793E-2</v>
      </c>
      <c r="AQ76" s="3">
        <f ca="1">INDIRECT(ADDRESS(76,14))</f>
        <v>10745102.5</v>
      </c>
      <c r="AR76" s="4">
        <f ca="1">IFERROR(INDIRECT(ADDRESS(76,14)) / INDIRECT(ADDRESS(82,14)),0)</f>
        <v>0.20158912301017087</v>
      </c>
      <c r="AS76" s="4">
        <f ca="1">IFERROR((INDIRECT(ADDRESS(76,14)) - INDIRECT(ADDRESS(76,3)))/ INDIRECT(ADDRESS(76,3)),1)</f>
        <v>-0.50340264430333082</v>
      </c>
      <c r="AT76" s="3">
        <f ca="1">INDIRECT(ADDRESS(76,19))</f>
        <v>5010608</v>
      </c>
      <c r="AU76" s="4">
        <f ca="1">IFERROR(INDIRECT(ADDRESS(76,19)) / INDIRECT(ADDRESS(82,19)),0)</f>
        <v>0.13628416073921507</v>
      </c>
      <c r="AV76" s="4">
        <f ca="1">IFERROR((INDIRECT(ADDRESS(76,19)) - INDIRECT(ADDRESS(76,3)))/ INDIRECT(ADDRESS(76,3)),1)</f>
        <v>-0.76842894860867306</v>
      </c>
      <c r="AW76" s="3">
        <f ca="1">INDIRECT(ADDRESS(76,24))</f>
        <v>2357182.86</v>
      </c>
      <c r="AX76" s="4">
        <f ca="1">IFERROR(INDIRECT(ADDRESS(76,24)) / INDIRECT(ADDRESS(82,24)),0)</f>
        <v>8.4048759467258288E-2</v>
      </c>
      <c r="AY76" s="4">
        <f ca="1">IFERROR((INDIRECT(ADDRESS(76,24)) - INDIRECT(ADDRESS(76,3)))/ INDIRECT(ADDRESS(76,3)),1)</f>
        <v>-0.89106006432516471</v>
      </c>
      <c r="AZ76" s="3">
        <f ca="1">INDIRECT(ADDRESS(76,29))</f>
        <v>416541.77399999998</v>
      </c>
      <c r="BA76" s="4">
        <f ca="1">IFERROR(INDIRECT(ADDRESS(76,29)) / INDIRECT(ADDRESS(82,29)),0)</f>
        <v>1.8241962176528251E-2</v>
      </c>
      <c r="BB76" s="4">
        <f ca="1">IFERROR((INDIRECT(ADDRESS(76,29)) - INDIRECT(ADDRESS(76,3)))/ INDIRECT(ADDRESS(76,3)),1)</f>
        <v>-0.98074903952702175</v>
      </c>
      <c r="BC76" s="3">
        <f ca="1">INDIRECT(ADDRESS(76,34))</f>
        <v>8720.8389266960003</v>
      </c>
      <c r="BD76" s="4">
        <f ca="1">IFERROR(INDIRECT(ADDRESS(76,34)) / INDIRECT(ADDRESS(82,34)),0)</f>
        <v>4.211198501101301E-4</v>
      </c>
      <c r="BE76" s="4">
        <f ca="1">IFERROR((INDIRECT(ADDRESS(76,34)) - INDIRECT(ADDRESS(76,3)))/ INDIRECT(ADDRESS(76,3)),1)</f>
        <v>-0.99959695632959733</v>
      </c>
    </row>
    <row r="77" spans="1:57" x14ac:dyDescent="0.25">
      <c r="A77" s="5"/>
      <c r="B77" s="1" t="s">
        <v>47</v>
      </c>
      <c r="C77">
        <v>5790901</v>
      </c>
      <c r="D77">
        <v>5790901</v>
      </c>
      <c r="E77">
        <v>5790901</v>
      </c>
      <c r="F77">
        <v>5790901</v>
      </c>
      <c r="G77">
        <v>5790901</v>
      </c>
      <c r="H77">
        <v>5790901</v>
      </c>
      <c r="I77">
        <v>5790901</v>
      </c>
      <c r="J77">
        <v>5790901</v>
      </c>
      <c r="K77">
        <v>5790901</v>
      </c>
      <c r="L77">
        <v>5790901</v>
      </c>
      <c r="M77">
        <v>5790901</v>
      </c>
      <c r="N77">
        <v>5790901</v>
      </c>
      <c r="O77">
        <v>5790901</v>
      </c>
      <c r="P77">
        <v>5790901</v>
      </c>
      <c r="Q77">
        <v>5790901</v>
      </c>
      <c r="R77">
        <v>5790901</v>
      </c>
      <c r="S77">
        <v>5790901</v>
      </c>
      <c r="T77">
        <v>5790901</v>
      </c>
      <c r="U77">
        <v>5790901</v>
      </c>
      <c r="V77">
        <v>5790901</v>
      </c>
      <c r="W77">
        <v>5790901</v>
      </c>
      <c r="X77">
        <v>5790901</v>
      </c>
      <c r="Y77">
        <v>5790901</v>
      </c>
      <c r="Z77">
        <v>5790901</v>
      </c>
      <c r="AA77">
        <v>5790901</v>
      </c>
      <c r="AB77">
        <v>5790901</v>
      </c>
      <c r="AC77">
        <v>5790901</v>
      </c>
      <c r="AD77">
        <v>5790901</v>
      </c>
      <c r="AE77">
        <v>5790901</v>
      </c>
      <c r="AF77">
        <v>5790901</v>
      </c>
      <c r="AG77">
        <v>5790901</v>
      </c>
      <c r="AH77">
        <v>5790901</v>
      </c>
      <c r="AK77" s="3" t="str">
        <f ca="1">INDIRECT(ADDRESS(77,2))</f>
        <v>Non Energy</v>
      </c>
      <c r="AL77" s="3">
        <f ca="1">INDIRECT(ADDRESS(77,3))</f>
        <v>5790901</v>
      </c>
      <c r="AM77" s="4">
        <f ca="1">IFERROR(INDIRECT(ADDRESS(77,3)) / INDIRECT(ADDRESS(82,3)),0)</f>
        <v>5.4569676704888999E-2</v>
      </c>
      <c r="AN77" s="3">
        <f ca="1">INDIRECT(ADDRESS(77,9))</f>
        <v>5790901</v>
      </c>
      <c r="AO77" s="4">
        <f ca="1">IFERROR(INDIRECT(ADDRESS(77,9)) / INDIRECT(ADDRESS(82,9)),0)</f>
        <v>7.4445684386926378E-2</v>
      </c>
      <c r="AP77" s="4">
        <f ca="1">IFERROR((INDIRECT(ADDRESS(77,9)) - INDIRECT(ADDRESS(77,3)))/ INDIRECT(ADDRESS(77,3)),1)</f>
        <v>0</v>
      </c>
      <c r="AQ77" s="3">
        <f ca="1">INDIRECT(ADDRESS(77,14))</f>
        <v>5790901</v>
      </c>
      <c r="AR77" s="4">
        <f ca="1">IFERROR(INDIRECT(ADDRESS(77,14)) / INDIRECT(ADDRESS(82,14)),0)</f>
        <v>0.10864323109330241</v>
      </c>
      <c r="AS77" s="4">
        <f ca="1">IFERROR((INDIRECT(ADDRESS(77,14)) - INDIRECT(ADDRESS(77,3)))/ INDIRECT(ADDRESS(77,3)),1)</f>
        <v>0</v>
      </c>
      <c r="AT77" s="3">
        <f ca="1">INDIRECT(ADDRESS(77,19))</f>
        <v>5790901</v>
      </c>
      <c r="AU77" s="4">
        <f ca="1">IFERROR(INDIRECT(ADDRESS(77,19)) / INDIRECT(ADDRESS(82,19)),0)</f>
        <v>0.15750744873853256</v>
      </c>
      <c r="AV77" s="4">
        <f ca="1">IFERROR((INDIRECT(ADDRESS(77,19)) - INDIRECT(ADDRESS(77,3)))/ INDIRECT(ADDRESS(77,3)),1)</f>
        <v>0</v>
      </c>
      <c r="AW77" s="3">
        <f ca="1">INDIRECT(ADDRESS(77,24))</f>
        <v>5790901</v>
      </c>
      <c r="AX77" s="4">
        <f ca="1">IFERROR(INDIRECT(ADDRESS(77,24)) / INDIRECT(ADDRESS(82,24)),0)</f>
        <v>0.20648293923522992</v>
      </c>
      <c r="AY77" s="4">
        <f ca="1">IFERROR((INDIRECT(ADDRESS(77,24)) - INDIRECT(ADDRESS(77,3)))/ INDIRECT(ADDRESS(77,3)),1)</f>
        <v>0</v>
      </c>
      <c r="AZ77" s="3">
        <f ca="1">INDIRECT(ADDRESS(77,29))</f>
        <v>5790901</v>
      </c>
      <c r="BA77" s="4">
        <f ca="1">IFERROR(INDIRECT(ADDRESS(77,29)) / INDIRECT(ADDRESS(82,29)),0)</f>
        <v>0.25360576922596872</v>
      </c>
      <c r="BB77" s="4">
        <f ca="1">IFERROR((INDIRECT(ADDRESS(77,29)) - INDIRECT(ADDRESS(77,3)))/ INDIRECT(ADDRESS(77,3)),1)</f>
        <v>0</v>
      </c>
      <c r="BC77" s="3">
        <f ca="1">INDIRECT(ADDRESS(77,34))</f>
        <v>5790901</v>
      </c>
      <c r="BD77" s="4">
        <f ca="1">IFERROR(INDIRECT(ADDRESS(77,34)) / INDIRECT(ADDRESS(82,34)),0)</f>
        <v>0.27963632646137188</v>
      </c>
      <c r="BE77" s="4">
        <f ca="1">IFERROR((INDIRECT(ADDRESS(77,34)) - INDIRECT(ADDRESS(77,3)))/ INDIRECT(ADDRESS(77,3)),1)</f>
        <v>0</v>
      </c>
    </row>
    <row r="78" spans="1:57" x14ac:dyDescent="0.25">
      <c r="A78" s="5"/>
      <c r="B78" s="1" t="s">
        <v>48</v>
      </c>
      <c r="C78">
        <v>3801677</v>
      </c>
      <c r="D78">
        <v>3801677</v>
      </c>
      <c r="E78">
        <v>3801677</v>
      </c>
      <c r="F78">
        <v>3801677</v>
      </c>
      <c r="G78">
        <v>3801677</v>
      </c>
      <c r="H78">
        <v>3801677</v>
      </c>
      <c r="I78">
        <v>3746733</v>
      </c>
      <c r="J78">
        <v>3693429</v>
      </c>
      <c r="K78">
        <v>3641692</v>
      </c>
      <c r="L78">
        <v>3591456</v>
      </c>
      <c r="M78">
        <v>3542654</v>
      </c>
      <c r="N78">
        <v>3495228</v>
      </c>
      <c r="O78">
        <v>3449118</v>
      </c>
      <c r="P78">
        <v>3404272</v>
      </c>
      <c r="Q78">
        <v>3360638</v>
      </c>
      <c r="R78">
        <v>3318167</v>
      </c>
      <c r="S78">
        <v>3276815</v>
      </c>
      <c r="T78">
        <v>3236536</v>
      </c>
      <c r="U78">
        <v>3197290</v>
      </c>
      <c r="V78">
        <v>3159037</v>
      </c>
      <c r="W78">
        <v>3121741</v>
      </c>
      <c r="X78">
        <v>3085367</v>
      </c>
      <c r="Y78">
        <v>3049879</v>
      </c>
      <c r="Z78">
        <v>3015246</v>
      </c>
      <c r="AA78">
        <v>2981437</v>
      </c>
      <c r="AB78">
        <v>2948425</v>
      </c>
      <c r="AC78">
        <v>2916180</v>
      </c>
      <c r="AD78">
        <v>2884676</v>
      </c>
      <c r="AE78">
        <v>2853888</v>
      </c>
      <c r="AF78">
        <v>2823793</v>
      </c>
      <c r="AG78">
        <v>2794365</v>
      </c>
      <c r="AH78">
        <v>2765585</v>
      </c>
      <c r="AK78" s="3" t="str">
        <f ca="1">INDIRECT(ADDRESS(78,2))</f>
        <v>Other</v>
      </c>
      <c r="AL78" s="3">
        <f ca="1">INDIRECT(ADDRESS(78,3))</f>
        <v>3801677</v>
      </c>
      <c r="AM78" s="4">
        <f ca="1">IFERROR(INDIRECT(ADDRESS(78,3)) / INDIRECT(ADDRESS(82,3)),0)</f>
        <v>3.5824526239770338E-2</v>
      </c>
      <c r="AN78" s="3">
        <f ca="1">INDIRECT(ADDRESS(78,9))</f>
        <v>3746733</v>
      </c>
      <c r="AO78" s="4">
        <f ca="1">IFERROR(INDIRECT(ADDRESS(78,9)) / INDIRECT(ADDRESS(82,9)),0)</f>
        <v>4.8166615592302793E-2</v>
      </c>
      <c r="AP78" s="4">
        <f ca="1">IFERROR((INDIRECT(ADDRESS(78,9)) - INDIRECT(ADDRESS(78,3)))/ INDIRECT(ADDRESS(78,3)),1)</f>
        <v>-1.4452569221425177E-2</v>
      </c>
      <c r="AQ78" s="3">
        <f ca="1">INDIRECT(ADDRESS(78,14))</f>
        <v>3495228</v>
      </c>
      <c r="AR78" s="4">
        <f ca="1">IFERROR(INDIRECT(ADDRESS(78,14)) / INDIRECT(ADDRESS(82,14)),0)</f>
        <v>6.5574055458344258E-2</v>
      </c>
      <c r="AS78" s="4">
        <f ca="1">IFERROR((INDIRECT(ADDRESS(78,14)) - INDIRECT(ADDRESS(78,3)))/ INDIRECT(ADDRESS(78,3)),1)</f>
        <v>-8.0608899703999051E-2</v>
      </c>
      <c r="AT78" s="3">
        <f ca="1">INDIRECT(ADDRESS(78,19))</f>
        <v>3276815</v>
      </c>
      <c r="AU78" s="4">
        <f ca="1">IFERROR(INDIRECT(ADDRESS(78,19)) / INDIRECT(ADDRESS(82,19)),0)</f>
        <v>8.9126505640168011E-2</v>
      </c>
      <c r="AV78" s="4">
        <f ca="1">IFERROR((INDIRECT(ADDRESS(78,19)) - INDIRECT(ADDRESS(78,3)))/ INDIRECT(ADDRESS(78,3)),1)</f>
        <v>-0.13806065060235259</v>
      </c>
      <c r="AW78" s="3">
        <f ca="1">INDIRECT(ADDRESS(78,24))</f>
        <v>3085367</v>
      </c>
      <c r="AX78" s="4">
        <f ca="1">IFERROR(INDIRECT(ADDRESS(78,24)) / INDIRECT(ADDRESS(82,24)),0)</f>
        <v>0.11001321673076153</v>
      </c>
      <c r="AY78" s="4">
        <f ca="1">IFERROR((INDIRECT(ADDRESS(78,24)) - INDIRECT(ADDRESS(78,3)))/ INDIRECT(ADDRESS(78,3)),1)</f>
        <v>-0.18841947908778153</v>
      </c>
      <c r="AZ78" s="3">
        <f ca="1">INDIRECT(ADDRESS(78,29))</f>
        <v>2916180</v>
      </c>
      <c r="BA78" s="4">
        <f ca="1">IFERROR(INDIRECT(ADDRESS(78,29)) / INDIRECT(ADDRESS(82,29)),0)</f>
        <v>0.12771070893827843</v>
      </c>
      <c r="BB78" s="4">
        <f ca="1">IFERROR((INDIRECT(ADDRESS(78,29)) - INDIRECT(ADDRESS(78,3)))/ INDIRECT(ADDRESS(78,3)),1)</f>
        <v>-0.23292273383562043</v>
      </c>
      <c r="BC78" s="3">
        <f ca="1">INDIRECT(ADDRESS(78,34))</f>
        <v>2765585</v>
      </c>
      <c r="BD78" s="4">
        <f ca="1">IFERROR(INDIRECT(ADDRESS(78,34)) / INDIRECT(ADDRESS(82,34)),0)</f>
        <v>0.13354709913304907</v>
      </c>
      <c r="BE78" s="4">
        <f ca="1">IFERROR((INDIRECT(ADDRESS(78,34)) - INDIRECT(ADDRESS(78,3)))/ INDIRECT(ADDRESS(78,3)),1)</f>
        <v>-0.2725355152476131</v>
      </c>
    </row>
    <row r="79" spans="1:57" x14ac:dyDescent="0.25">
      <c r="A79" s="5"/>
      <c r="B79" s="1" t="s">
        <v>49</v>
      </c>
      <c r="C79">
        <v>729368.12510000006</v>
      </c>
      <c r="D79">
        <v>728736.72509999992</v>
      </c>
      <c r="E79">
        <v>726780.01119999995</v>
      </c>
      <c r="F79">
        <v>723936.79739999992</v>
      </c>
      <c r="G79">
        <v>714457.10759999999</v>
      </c>
      <c r="H79">
        <v>697287.91769999999</v>
      </c>
      <c r="I79">
        <v>677550.56759999995</v>
      </c>
      <c r="J79">
        <v>653304.29070000001</v>
      </c>
      <c r="K79">
        <v>627583.67480000004</v>
      </c>
      <c r="L79">
        <v>599897.50870000001</v>
      </c>
      <c r="M79">
        <v>567935.48160000006</v>
      </c>
      <c r="N79">
        <v>535468.58350000007</v>
      </c>
      <c r="O79">
        <v>495982.58799999999</v>
      </c>
      <c r="P79">
        <v>457000.7487</v>
      </c>
      <c r="Q79">
        <v>419497.02100000001</v>
      </c>
      <c r="R79">
        <v>383726.68109999999</v>
      </c>
      <c r="S79">
        <v>352579.4963</v>
      </c>
      <c r="T79">
        <v>327423.37109999999</v>
      </c>
      <c r="U79">
        <v>304723.10700000002</v>
      </c>
      <c r="V79">
        <v>284175.99680000002</v>
      </c>
      <c r="W79">
        <v>265211.22360000003</v>
      </c>
      <c r="X79">
        <v>247908.10079999999</v>
      </c>
      <c r="Y79">
        <v>237726.17129999999</v>
      </c>
      <c r="Z79">
        <v>229028.8811</v>
      </c>
      <c r="AA79">
        <v>221671.60639999999</v>
      </c>
      <c r="AB79">
        <v>215282.9981</v>
      </c>
      <c r="AC79">
        <v>209678.0778</v>
      </c>
      <c r="AD79">
        <v>204250.08470000001</v>
      </c>
      <c r="AE79">
        <v>199068.12479999999</v>
      </c>
      <c r="AF79">
        <v>194065.2157</v>
      </c>
      <c r="AG79">
        <v>189091.96489999999</v>
      </c>
      <c r="AH79">
        <v>184475.91810000001</v>
      </c>
      <c r="AK79" s="3" t="str">
        <f ca="1">INDIRECT(ADDRESS(79,2))</f>
        <v>Propane</v>
      </c>
      <c r="AL79" s="3">
        <f ca="1">INDIRECT(ADDRESS(79,3))</f>
        <v>729368.12510000006</v>
      </c>
      <c r="AM79" s="4">
        <f ca="1">IFERROR(INDIRECT(ADDRESS(79,3)) / INDIRECT(ADDRESS(82,3)),0)</f>
        <v>6.8730898327493493E-3</v>
      </c>
      <c r="AN79" s="3">
        <f ca="1">INDIRECT(ADDRESS(79,9))</f>
        <v>677550.56759999995</v>
      </c>
      <c r="AO79" s="4">
        <f ca="1">IFERROR(INDIRECT(ADDRESS(79,9)) / INDIRECT(ADDRESS(82,9)),0)</f>
        <v>8.7103398437881133E-3</v>
      </c>
      <c r="AP79" s="4">
        <f ca="1">IFERROR((INDIRECT(ADDRESS(79,9)) - INDIRECT(ADDRESS(79,3)))/ INDIRECT(ADDRESS(79,3)),1)</f>
        <v>-7.1044450280707924E-2</v>
      </c>
      <c r="AQ79" s="3">
        <f ca="1">INDIRECT(ADDRESS(79,14))</f>
        <v>535468.58350000007</v>
      </c>
      <c r="AR79" s="4">
        <f ca="1">IFERROR(INDIRECT(ADDRESS(79,14)) / INDIRECT(ADDRESS(82,14)),0)</f>
        <v>1.0045938803028029E-2</v>
      </c>
      <c r="AS79" s="4">
        <f ca="1">IFERROR((INDIRECT(ADDRESS(79,14)) - INDIRECT(ADDRESS(79,3)))/ INDIRECT(ADDRESS(79,3)),1)</f>
        <v>-0.26584592187027006</v>
      </c>
      <c r="AT79" s="3">
        <f ca="1">INDIRECT(ADDRESS(79,19))</f>
        <v>352579.4963</v>
      </c>
      <c r="AU79" s="4">
        <f ca="1">IFERROR(INDIRECT(ADDRESS(79,19)) / INDIRECT(ADDRESS(82,19)),0)</f>
        <v>9.58985431450648E-3</v>
      </c>
      <c r="AV79" s="4">
        <f ca="1">IFERROR((INDIRECT(ADDRESS(79,19)) - INDIRECT(ADDRESS(79,3)))/ INDIRECT(ADDRESS(79,3)),1)</f>
        <v>-0.51659596277029574</v>
      </c>
      <c r="AW79" s="3">
        <f ca="1">INDIRECT(ADDRESS(79,24))</f>
        <v>247908.10079999999</v>
      </c>
      <c r="AX79" s="4">
        <f ca="1">IFERROR(INDIRECT(ADDRESS(79,24)) / INDIRECT(ADDRESS(82,24)),0)</f>
        <v>8.8395213997627745E-3</v>
      </c>
      <c r="AY79" s="4">
        <f ca="1">IFERROR((INDIRECT(ADDRESS(79,24)) - INDIRECT(ADDRESS(79,3)))/ INDIRECT(ADDRESS(79,3)),1)</f>
        <v>-0.6601056554726592</v>
      </c>
      <c r="AZ79" s="3">
        <f ca="1">INDIRECT(ADDRESS(79,29))</f>
        <v>209678.0778</v>
      </c>
      <c r="BA79" s="4">
        <f ca="1">IFERROR(INDIRECT(ADDRESS(79,29)) / INDIRECT(ADDRESS(82,29)),0)</f>
        <v>9.1826073715111887E-3</v>
      </c>
      <c r="BB79" s="4">
        <f ca="1">IFERROR((INDIRECT(ADDRESS(79,29)) - INDIRECT(ADDRESS(79,3)))/ INDIRECT(ADDRESS(79,3)),1)</f>
        <v>-0.71252091970532427</v>
      </c>
      <c r="BC79" s="3">
        <f ca="1">INDIRECT(ADDRESS(79,34))</f>
        <v>184475.91810000001</v>
      </c>
      <c r="BD79" s="4">
        <f ca="1">IFERROR(INDIRECT(ADDRESS(79,34)) / INDIRECT(ADDRESS(82,34)),0)</f>
        <v>8.9081419382014814E-3</v>
      </c>
      <c r="BE79" s="4">
        <f ca="1">IFERROR((INDIRECT(ADDRESS(79,34)) - INDIRECT(ADDRESS(79,3)))/ INDIRECT(ADDRESS(79,3)),1)</f>
        <v>-0.74707433495985665</v>
      </c>
    </row>
    <row r="80" spans="1:57" x14ac:dyDescent="0.25">
      <c r="A80" s="5"/>
      <c r="B80" s="1" t="s">
        <v>50</v>
      </c>
      <c r="C80">
        <v>147.99354122</v>
      </c>
      <c r="D80">
        <v>147.99354105</v>
      </c>
      <c r="E80">
        <v>827.04334098000004</v>
      </c>
      <c r="F80">
        <v>2554.5325415299999</v>
      </c>
      <c r="G80">
        <v>5392.0788500000008</v>
      </c>
      <c r="H80">
        <v>9221.90985</v>
      </c>
      <c r="I80">
        <v>13956.20278</v>
      </c>
      <c r="J80">
        <v>19668.908510000001</v>
      </c>
      <c r="K80">
        <v>26149.778999999999</v>
      </c>
      <c r="L80">
        <v>33405.6734</v>
      </c>
      <c r="M80">
        <v>41433.553099999997</v>
      </c>
      <c r="N80">
        <v>50245.570899999999</v>
      </c>
      <c r="O80">
        <v>59941.566099999996</v>
      </c>
      <c r="P80">
        <v>70437.575199999992</v>
      </c>
      <c r="Q80">
        <v>81738.944400000008</v>
      </c>
      <c r="R80">
        <v>93848.317299999995</v>
      </c>
      <c r="S80">
        <v>106758.76519999999</v>
      </c>
      <c r="T80">
        <v>114321.94319999999</v>
      </c>
      <c r="U80">
        <v>122033.9954</v>
      </c>
      <c r="V80">
        <v>129897.7599</v>
      </c>
      <c r="W80">
        <v>137898.54010000001</v>
      </c>
      <c r="X80">
        <v>146043.72510000001</v>
      </c>
      <c r="Y80">
        <v>154049.25099999999</v>
      </c>
      <c r="Z80">
        <v>162179.4357</v>
      </c>
      <c r="AA80">
        <v>170428.60620000001</v>
      </c>
      <c r="AB80">
        <v>178790.10159999999</v>
      </c>
      <c r="AC80">
        <v>187244.70850000001</v>
      </c>
      <c r="AD80">
        <v>195865.66889999999</v>
      </c>
      <c r="AE80">
        <v>204580.39660000001</v>
      </c>
      <c r="AF80">
        <v>213366.37239999999</v>
      </c>
      <c r="AG80">
        <v>222173.79990000001</v>
      </c>
      <c r="AH80">
        <v>231109.5955</v>
      </c>
      <c r="AK80" s="3" t="str">
        <f ca="1">INDIRECT(ADDRESS(80,2))</f>
        <v>RNG</v>
      </c>
      <c r="AL80" s="3">
        <f ca="1">INDIRECT(ADDRESS(80,3))</f>
        <v>147.99354122</v>
      </c>
      <c r="AM80" s="4">
        <f ca="1">IFERROR(INDIRECT(ADDRESS(80,3)) / INDIRECT(ADDRESS(82,3)),0)</f>
        <v>1.3945946751269042E-6</v>
      </c>
      <c r="AN80" s="3">
        <f ca="1">INDIRECT(ADDRESS(80,9))</f>
        <v>13956.20278</v>
      </c>
      <c r="AO80" s="4">
        <f ca="1">IFERROR(INDIRECT(ADDRESS(80,9)) / INDIRECT(ADDRESS(82,9)),0)</f>
        <v>1.7941578821669107E-4</v>
      </c>
      <c r="AP80" s="4">
        <f ca="1">IFERROR((INDIRECT(ADDRESS(80,9)) - INDIRECT(ADDRESS(80,3)))/ INDIRECT(ADDRESS(80,3)),1)</f>
        <v>93.302782844106616</v>
      </c>
      <c r="AQ80" s="3">
        <f ca="1">INDIRECT(ADDRESS(80,14))</f>
        <v>50245.570899999999</v>
      </c>
      <c r="AR80" s="4">
        <f ca="1">IFERROR(INDIRECT(ADDRESS(80,14)) / INDIRECT(ADDRESS(82,14)),0)</f>
        <v>9.4265834810569398E-4</v>
      </c>
      <c r="AS80" s="4">
        <f ca="1">IFERROR((INDIRECT(ADDRESS(80,14)) - INDIRECT(ADDRESS(80,3)))/ INDIRECT(ADDRESS(80,3)),1)</f>
        <v>338.51191711337844</v>
      </c>
      <c r="AT80" s="3">
        <f ca="1">INDIRECT(ADDRESS(80,19))</f>
        <v>106758.76519999999</v>
      </c>
      <c r="AU80" s="4">
        <f ca="1">IFERROR(INDIRECT(ADDRESS(80,19)) / INDIRECT(ADDRESS(82,19)),0)</f>
        <v>2.9037451576409325E-3</v>
      </c>
      <c r="AV80" s="4">
        <f ca="1">IFERROR((INDIRECT(ADDRESS(80,19)) - INDIRECT(ADDRESS(80,3)))/ INDIRECT(ADDRESS(80,3)),1)</f>
        <v>720.37448918326515</v>
      </c>
      <c r="AW80" s="3">
        <f ca="1">INDIRECT(ADDRESS(80,24))</f>
        <v>146043.72510000001</v>
      </c>
      <c r="AX80" s="4">
        <f ca="1">IFERROR(INDIRECT(ADDRESS(80,24)) / INDIRECT(ADDRESS(82,24)),0)</f>
        <v>5.2073999565024386E-3</v>
      </c>
      <c r="AY80" s="4">
        <f ca="1">IFERROR((INDIRECT(ADDRESS(80,24)) - INDIRECT(ADDRESS(80,3)))/ INDIRECT(ADDRESS(80,3)),1)</f>
        <v>985.8249917940575</v>
      </c>
      <c r="AZ80" s="3">
        <f ca="1">INDIRECT(ADDRESS(80,29))</f>
        <v>187244.70850000001</v>
      </c>
      <c r="BA80" s="4">
        <f ca="1">IFERROR(INDIRECT(ADDRESS(80,29)) / INDIRECT(ADDRESS(82,29)),0)</f>
        <v>8.2001640733686838E-3</v>
      </c>
      <c r="BB80" s="4">
        <f ca="1">IFERROR((INDIRECT(ADDRESS(80,29)) - INDIRECT(ADDRESS(80,3)))/ INDIRECT(ADDRESS(80,3)),1)</f>
        <v>1264.222164132495</v>
      </c>
      <c r="BC80" s="3">
        <f ca="1">INDIRECT(ADDRESS(80,34))</f>
        <v>231109.5955</v>
      </c>
      <c r="BD80" s="4">
        <f ca="1">IFERROR(INDIRECT(ADDRESS(80,34)) / INDIRECT(ADDRESS(82,34)),0)</f>
        <v>1.1160031624714978E-2</v>
      </c>
      <c r="BE80" s="4">
        <f ca="1">IFERROR((INDIRECT(ADDRESS(80,34)) - INDIRECT(ADDRESS(80,3)))/ INDIRECT(ADDRESS(80,3)),1)</f>
        <v>1560.6194706527342</v>
      </c>
    </row>
    <row r="81" spans="1:57" x14ac:dyDescent="0.25">
      <c r="A81" s="5"/>
      <c r="B81" s="1" t="s">
        <v>51</v>
      </c>
      <c r="C81">
        <v>384783.25699999998</v>
      </c>
      <c r="D81">
        <v>384263.35700000002</v>
      </c>
      <c r="E81">
        <v>381739.75699999998</v>
      </c>
      <c r="F81">
        <v>378375.65700000001</v>
      </c>
      <c r="G81">
        <v>373053.75699999998</v>
      </c>
      <c r="H81">
        <v>366243.05699999997</v>
      </c>
      <c r="I81">
        <v>356067.45700000011</v>
      </c>
      <c r="J81">
        <v>345301.05699999997</v>
      </c>
      <c r="K81">
        <v>333871.75699999998</v>
      </c>
      <c r="L81">
        <v>321353.15700000001</v>
      </c>
      <c r="M81">
        <v>307302.35700000002</v>
      </c>
      <c r="N81">
        <v>291537.74699999997</v>
      </c>
      <c r="O81">
        <v>275292.36700000003</v>
      </c>
      <c r="P81">
        <v>259286.07699999999</v>
      </c>
      <c r="Q81">
        <v>244191.88699999999</v>
      </c>
      <c r="R81">
        <v>230527.677</v>
      </c>
      <c r="S81">
        <v>218626.587</v>
      </c>
      <c r="T81">
        <v>208706.65700000001</v>
      </c>
      <c r="U81">
        <v>200711.057</v>
      </c>
      <c r="V81">
        <v>194467.29699999999</v>
      </c>
      <c r="W81">
        <v>189710.51199999999</v>
      </c>
      <c r="X81">
        <v>186099.49100000001</v>
      </c>
      <c r="Y81">
        <v>183517.03899999999</v>
      </c>
      <c r="Z81">
        <v>181460.27499999999</v>
      </c>
      <c r="AA81">
        <v>179744.174</v>
      </c>
      <c r="AB81">
        <v>178265.943</v>
      </c>
      <c r="AC81">
        <v>176945.4099</v>
      </c>
      <c r="AD81">
        <v>175680.07180000001</v>
      </c>
      <c r="AE81">
        <v>174487.90119999999</v>
      </c>
      <c r="AF81">
        <v>173353.37880000001</v>
      </c>
      <c r="AG81">
        <v>172268.58379999999</v>
      </c>
      <c r="AH81">
        <v>171227.94409999999</v>
      </c>
      <c r="AK81" s="3" t="str">
        <f ca="1">INDIRECT(ADDRESS(81,2))</f>
        <v>Wood</v>
      </c>
      <c r="AL81" s="3">
        <f ca="1">INDIRECT(ADDRESS(81,3))</f>
        <v>384783.25699999998</v>
      </c>
      <c r="AM81" s="4">
        <f ca="1">IFERROR(INDIRECT(ADDRESS(81,3)) / INDIRECT(ADDRESS(82,3)),0)</f>
        <v>3.6259466248765465E-3</v>
      </c>
      <c r="AN81" s="3">
        <f ca="1">INDIRECT(ADDRESS(81,9))</f>
        <v>356067.45700000011</v>
      </c>
      <c r="AO81" s="4">
        <f ca="1">IFERROR(INDIRECT(ADDRESS(81,9)) / INDIRECT(ADDRESS(82,9)),0)</f>
        <v>4.5774717136897163E-3</v>
      </c>
      <c r="AP81" s="4">
        <f ca="1">IFERROR((INDIRECT(ADDRESS(81,9)) - INDIRECT(ADDRESS(81,3)))/ INDIRECT(ADDRESS(81,3)),1)</f>
        <v>-7.4628507029867661E-2</v>
      </c>
      <c r="AQ81" s="3">
        <f ca="1">INDIRECT(ADDRESS(81,14))</f>
        <v>291537.74699999997</v>
      </c>
      <c r="AR81" s="4">
        <f ca="1">IFERROR(INDIRECT(ADDRESS(81,14)) / INDIRECT(ADDRESS(82,14)),0)</f>
        <v>5.4695465903737139E-3</v>
      </c>
      <c r="AS81" s="4">
        <f ca="1">IFERROR((INDIRECT(ADDRESS(81,14)) - INDIRECT(ADDRESS(81,3)))/ INDIRECT(ADDRESS(81,3)),1)</f>
        <v>-0.24233255554567962</v>
      </c>
      <c r="AT81" s="3">
        <f ca="1">INDIRECT(ADDRESS(81,19))</f>
        <v>218626.587</v>
      </c>
      <c r="AU81" s="4">
        <f ca="1">IFERROR(INDIRECT(ADDRESS(81,19)) / INDIRECT(ADDRESS(82,19)),0)</f>
        <v>5.946452191944368E-3</v>
      </c>
      <c r="AV81" s="4">
        <f ca="1">IFERROR((INDIRECT(ADDRESS(81,19)) - INDIRECT(ADDRESS(81,3)))/ INDIRECT(ADDRESS(81,3)),1)</f>
        <v>-0.43181886679648329</v>
      </c>
      <c r="AW81" s="3">
        <f ca="1">INDIRECT(ADDRESS(81,24))</f>
        <v>186099.49100000001</v>
      </c>
      <c r="AX81" s="4">
        <f ca="1">IFERROR(INDIRECT(ADDRESS(81,24)) / INDIRECT(ADDRESS(82,24)),0)</f>
        <v>6.6356461441596428E-3</v>
      </c>
      <c r="AY81" s="4">
        <f ca="1">IFERROR((INDIRECT(ADDRESS(81,24)) - INDIRECT(ADDRESS(81,3)))/ INDIRECT(ADDRESS(81,3)),1)</f>
        <v>-0.51635242018859462</v>
      </c>
      <c r="AZ81" s="3">
        <f ca="1">INDIRECT(ADDRESS(81,29))</f>
        <v>176945.4099</v>
      </c>
      <c r="BA81" s="4">
        <f ca="1">IFERROR(INDIRECT(ADDRESS(81,29)) / INDIRECT(ADDRESS(82,29)),0)</f>
        <v>7.749118278605323E-3</v>
      </c>
      <c r="BB81" s="4">
        <f ca="1">IFERROR((INDIRECT(ADDRESS(81,29)) - INDIRECT(ADDRESS(81,3)))/ INDIRECT(ADDRESS(81,3)),1)</f>
        <v>-0.54014264737095874</v>
      </c>
      <c r="BC81" s="3">
        <f ca="1">INDIRECT(ADDRESS(81,34))</f>
        <v>171227.94409999999</v>
      </c>
      <c r="BD81" s="4">
        <f ca="1">IFERROR(INDIRECT(ADDRESS(81,34)) / INDIRECT(ADDRESS(82,34)),0)</f>
        <v>8.2684116471093416E-3</v>
      </c>
      <c r="BE81" s="4">
        <f ca="1">IFERROR((INDIRECT(ADDRESS(81,34)) - INDIRECT(ADDRESS(81,3)))/ INDIRECT(ADDRESS(81,3)),1)</f>
        <v>-0.55500157300243447</v>
      </c>
    </row>
    <row r="82" spans="1:57" x14ac:dyDescent="0.25">
      <c r="A82" s="1" t="s">
        <v>21</v>
      </c>
      <c r="B82" s="1"/>
      <c r="C82">
        <v>106119393.58404119</v>
      </c>
      <c r="D82">
        <v>105312188.9726411</v>
      </c>
      <c r="E82">
        <v>103585732.330541</v>
      </c>
      <c r="F82">
        <v>101944430.1329415</v>
      </c>
      <c r="G82">
        <v>99861371.168449998</v>
      </c>
      <c r="H82">
        <v>96922045.159550011</v>
      </c>
      <c r="I82">
        <v>77786926.773379982</v>
      </c>
      <c r="J82">
        <v>73944046.943210006</v>
      </c>
      <c r="K82">
        <v>69994857.94780001</v>
      </c>
      <c r="L82">
        <v>65982842.726100013</v>
      </c>
      <c r="M82">
        <v>61881991.675700009</v>
      </c>
      <c r="N82">
        <v>53301995.363399997</v>
      </c>
      <c r="O82">
        <v>49683052.007100001</v>
      </c>
      <c r="P82">
        <v>46272368.181900002</v>
      </c>
      <c r="Q82">
        <v>43015895.831399992</v>
      </c>
      <c r="R82">
        <v>39705202.2434</v>
      </c>
      <c r="S82">
        <v>36765886.6065</v>
      </c>
      <c r="T82">
        <v>34790834.714299999</v>
      </c>
      <c r="U82">
        <v>32875882.145399999</v>
      </c>
      <c r="V82">
        <v>31048402.874699999</v>
      </c>
      <c r="W82">
        <v>29475909.522700001</v>
      </c>
      <c r="X82">
        <v>28045421.192899998</v>
      </c>
      <c r="Y82">
        <v>27113402.476300001</v>
      </c>
      <c r="Z82">
        <v>26242263.540800001</v>
      </c>
      <c r="AA82">
        <v>25435417.9476</v>
      </c>
      <c r="AB82">
        <v>24683659.076699998</v>
      </c>
      <c r="AC82">
        <v>22834263.659200002</v>
      </c>
      <c r="AD82">
        <v>22307173.222399998</v>
      </c>
      <c r="AE82">
        <v>21827323.315499999</v>
      </c>
      <c r="AF82">
        <v>21402087.53125589</v>
      </c>
      <c r="AG82">
        <v>21044590.190973189</v>
      </c>
      <c r="AH82">
        <v>20708686.433126699</v>
      </c>
    </row>
    <row r="83" spans="1:57" x14ac:dyDescent="0.25">
      <c r="A83" s="5" t="s">
        <v>6</v>
      </c>
      <c r="B83" s="1" t="s">
        <v>40</v>
      </c>
      <c r="C83">
        <v>8510024.0999999996</v>
      </c>
      <c r="D83">
        <v>8510023.0999999996</v>
      </c>
      <c r="E83">
        <v>8510006.1999999993</v>
      </c>
      <c r="F83">
        <v>8509989.1999999993</v>
      </c>
      <c r="G83">
        <v>8503640.3000000007</v>
      </c>
      <c r="H83">
        <v>8497291.4000000004</v>
      </c>
      <c r="I83">
        <v>454601.7</v>
      </c>
      <c r="J83">
        <v>443739.3</v>
      </c>
      <c r="K83">
        <v>433196.6</v>
      </c>
      <c r="L83">
        <v>422959.9</v>
      </c>
      <c r="M83">
        <v>413015.8</v>
      </c>
      <c r="N83">
        <v>403352.3</v>
      </c>
      <c r="O83">
        <v>387535.5</v>
      </c>
      <c r="P83">
        <v>372144.8</v>
      </c>
      <c r="Q83">
        <v>357162.8</v>
      </c>
      <c r="R83">
        <v>342573.3</v>
      </c>
      <c r="S83">
        <v>328360.59999999998</v>
      </c>
      <c r="T83">
        <v>319345.7</v>
      </c>
      <c r="U83">
        <v>310553.5</v>
      </c>
      <c r="V83">
        <v>301975.40000000002</v>
      </c>
      <c r="W83">
        <v>293603.5</v>
      </c>
      <c r="X83">
        <v>285430.09999999998</v>
      </c>
      <c r="Y83">
        <v>277391.40000000002</v>
      </c>
      <c r="Z83">
        <v>269543.5</v>
      </c>
      <c r="AA83">
        <v>261879.6</v>
      </c>
      <c r="AB83">
        <v>254393.2</v>
      </c>
      <c r="AC83">
        <v>247078.1</v>
      </c>
      <c r="AD83">
        <v>239898.3</v>
      </c>
      <c r="AE83">
        <v>232882.5</v>
      </c>
      <c r="AF83">
        <v>226025.1</v>
      </c>
      <c r="AG83">
        <v>219320.8</v>
      </c>
      <c r="AH83">
        <v>212764.7</v>
      </c>
      <c r="AK83" s="3" t="str">
        <f ca="1">INDIRECT(ADDRESS(83,2))</f>
        <v>Coal</v>
      </c>
      <c r="AL83" s="3">
        <f ca="1">INDIRECT(ADDRESS(83,3))</f>
        <v>8510024.0999999996</v>
      </c>
      <c r="AM83" s="4">
        <f ca="1">IFERROR(INDIRECT(ADDRESS(83,3)) / INDIRECT(ADDRESS(96,3)),0)</f>
        <v>8.0192920564142608E-2</v>
      </c>
      <c r="AN83" s="3">
        <f ca="1">INDIRECT(ADDRESS(83,9))</f>
        <v>454601.7</v>
      </c>
      <c r="AO83" s="4">
        <f ca="1">IFERROR(INDIRECT(ADDRESS(83,9)) / INDIRECT(ADDRESS(96,9)),0)</f>
        <v>5.8922877087341959E-3</v>
      </c>
      <c r="AP83" s="4">
        <f ca="1">IFERROR((INDIRECT(ADDRESS(83,9)) - INDIRECT(ADDRESS(83,3)))/ INDIRECT(ADDRESS(83,3)),1)</f>
        <v>-0.9465804450542038</v>
      </c>
      <c r="AQ83" s="3">
        <f ca="1">INDIRECT(ADDRESS(83,14))</f>
        <v>403352.3</v>
      </c>
      <c r="AR83" s="4">
        <f ca="1">IFERROR(INDIRECT(ADDRESS(83,14)) / INDIRECT(ADDRESS(96,14)),0)</f>
        <v>7.6701356767845345E-3</v>
      </c>
      <c r="AS83" s="4">
        <f ca="1">IFERROR((INDIRECT(ADDRESS(83,14)) - INDIRECT(ADDRESS(83,3)))/ INDIRECT(ADDRESS(83,3)),1)</f>
        <v>-0.95260268416866178</v>
      </c>
      <c r="AT83" s="3">
        <f ca="1">INDIRECT(ADDRESS(83,19))</f>
        <v>328360.59999999998</v>
      </c>
      <c r="AU83" s="4">
        <f ca="1">IFERROR(INDIRECT(ADDRESS(83,19)) / INDIRECT(ADDRESS(96,19)),0)</f>
        <v>9.2038943721141943E-3</v>
      </c>
      <c r="AV83" s="4">
        <f ca="1">IFERROR((INDIRECT(ADDRESS(83,19)) - INDIRECT(ADDRESS(83,3)))/ INDIRECT(ADDRESS(83,3)),1)</f>
        <v>-0.96141484487687878</v>
      </c>
      <c r="AW83" s="3">
        <f ca="1">INDIRECT(ADDRESS(83,24))</f>
        <v>285430.09999999998</v>
      </c>
      <c r="AX83" s="4">
        <f ca="1">IFERROR(INDIRECT(ADDRESS(83,24)) / INDIRECT(ADDRESS(96,24)),0)</f>
        <v>1.0529702654271975E-2</v>
      </c>
      <c r="AY83" s="4">
        <f ca="1">IFERROR((INDIRECT(ADDRESS(83,24)) - INDIRECT(ADDRESS(83,3)))/ INDIRECT(ADDRESS(83,3)),1)</f>
        <v>-0.96645954269389212</v>
      </c>
      <c r="AZ83" s="3">
        <f ca="1">INDIRECT(ADDRESS(83,29))</f>
        <v>247078.1</v>
      </c>
      <c r="BA83" s="4">
        <f ca="1">IFERROR(INDIRECT(ADDRESS(83,29)) / INDIRECT(ADDRESS(96,29)),0)</f>
        <v>1.0900160269655358E-2</v>
      </c>
      <c r="BB83" s="4">
        <f ca="1">IFERROR((INDIRECT(ADDRESS(83,29)) - INDIRECT(ADDRESS(83,3)))/ INDIRECT(ADDRESS(83,3)),1)</f>
        <v>-0.97096622793347909</v>
      </c>
      <c r="BC83" s="3">
        <f ca="1">INDIRECT(ADDRESS(83,34))</f>
        <v>212764.7</v>
      </c>
      <c r="BD83" s="4">
        <f ca="1">IFERROR(INDIRECT(ADDRESS(83,34)) / INDIRECT(ADDRESS(96,34)),0)</f>
        <v>1.0278334545771439E-2</v>
      </c>
      <c r="BE83" s="4">
        <f ca="1">IFERROR((INDIRECT(ADDRESS(83,34)) - INDIRECT(ADDRESS(83,3)))/ INDIRECT(ADDRESS(83,3)),1)</f>
        <v>-0.97499834342419778</v>
      </c>
    </row>
    <row r="84" spans="1:57" x14ac:dyDescent="0.25">
      <c r="A84" s="5"/>
      <c r="B84" s="1" t="s">
        <v>41</v>
      </c>
      <c r="C84">
        <v>16213790</v>
      </c>
      <c r="D84">
        <v>15531020</v>
      </c>
      <c r="E84">
        <v>14818260</v>
      </c>
      <c r="F84">
        <v>14088080</v>
      </c>
      <c r="G84">
        <v>13373050</v>
      </c>
      <c r="H84">
        <v>12528840</v>
      </c>
      <c r="I84">
        <v>11750050</v>
      </c>
      <c r="J84">
        <v>10923790</v>
      </c>
      <c r="K84">
        <v>10137830</v>
      </c>
      <c r="L84">
        <v>9372473</v>
      </c>
      <c r="M84">
        <v>8628280</v>
      </c>
      <c r="N84">
        <v>7917861</v>
      </c>
      <c r="O84">
        <v>7235565</v>
      </c>
      <c r="P84">
        <v>6584524</v>
      </c>
      <c r="Q84">
        <v>5951586</v>
      </c>
      <c r="R84">
        <v>5324069</v>
      </c>
      <c r="S84">
        <v>4732364</v>
      </c>
      <c r="T84">
        <v>4407526</v>
      </c>
      <c r="U84">
        <v>4088349</v>
      </c>
      <c r="V84">
        <v>3778517</v>
      </c>
      <c r="W84">
        <v>3529889</v>
      </c>
      <c r="X84">
        <v>3287976</v>
      </c>
      <c r="Y84">
        <v>3185261</v>
      </c>
      <c r="Z84">
        <v>3087191</v>
      </c>
      <c r="AA84">
        <v>2994913</v>
      </c>
      <c r="AB84">
        <v>2908654</v>
      </c>
      <c r="AC84">
        <v>2827994</v>
      </c>
      <c r="AD84">
        <v>2752521</v>
      </c>
      <c r="AE84">
        <v>2681629</v>
      </c>
      <c r="AF84">
        <v>2614683</v>
      </c>
      <c r="AG84">
        <v>2550914</v>
      </c>
      <c r="AH84">
        <v>2489451</v>
      </c>
      <c r="AK84" s="3" t="str">
        <f ca="1">INDIRECT(ADDRESS(84,2))</f>
        <v>Diesel</v>
      </c>
      <c r="AL84" s="3">
        <f ca="1">INDIRECT(ADDRESS(84,3))</f>
        <v>16213790</v>
      </c>
      <c r="AM84" s="4">
        <f ca="1">IFERROR(INDIRECT(ADDRESS(84,3)) / INDIRECT(ADDRESS(96,3)),0)</f>
        <v>0.15278818934410418</v>
      </c>
      <c r="AN84" s="3">
        <f ca="1">INDIRECT(ADDRESS(84,9))</f>
        <v>11750050</v>
      </c>
      <c r="AO84" s="4">
        <f ca="1">IFERROR(INDIRECT(ADDRESS(84,9)) / INDIRECT(ADDRESS(96,9)),0)</f>
        <v>0.15229744013718433</v>
      </c>
      <c r="AP84" s="4">
        <f ca="1">IFERROR((INDIRECT(ADDRESS(84,9)) - INDIRECT(ADDRESS(84,3)))/ INDIRECT(ADDRESS(84,3)),1)</f>
        <v>-0.27530515690655916</v>
      </c>
      <c r="AQ84" s="3">
        <f ca="1">INDIRECT(ADDRESS(84,14))</f>
        <v>7917861</v>
      </c>
      <c r="AR84" s="4">
        <f ca="1">IFERROR(INDIRECT(ADDRESS(84,14)) / INDIRECT(ADDRESS(96,14)),0)</f>
        <v>0.15056581588829634</v>
      </c>
      <c r="AS84" s="4">
        <f ca="1">IFERROR((INDIRECT(ADDRESS(84,14)) - INDIRECT(ADDRESS(84,3)))/ INDIRECT(ADDRESS(84,3)),1)</f>
        <v>-0.51165884102359782</v>
      </c>
      <c r="AT84" s="3">
        <f ca="1">INDIRECT(ADDRESS(84,19))</f>
        <v>4732364</v>
      </c>
      <c r="AU84" s="4">
        <f ca="1">IFERROR(INDIRECT(ADDRESS(84,19)) / INDIRECT(ADDRESS(96,19)),0)</f>
        <v>0.13264739553526159</v>
      </c>
      <c r="AV84" s="4">
        <f ca="1">IFERROR((INDIRECT(ADDRESS(84,19)) - INDIRECT(ADDRESS(84,3)))/ INDIRECT(ADDRESS(84,3)),1)</f>
        <v>-0.70812721763387831</v>
      </c>
      <c r="AW84" s="3">
        <f ca="1">INDIRECT(ADDRESS(84,24))</f>
        <v>3287976</v>
      </c>
      <c r="AX84" s="4">
        <f ca="1">IFERROR(INDIRECT(ADDRESS(84,24)) / INDIRECT(ADDRESS(96,24)),0)</f>
        <v>0.12129558029928363</v>
      </c>
      <c r="AY84" s="4">
        <f ca="1">IFERROR((INDIRECT(ADDRESS(84,24)) - INDIRECT(ADDRESS(84,3)))/ INDIRECT(ADDRESS(84,3)),1)</f>
        <v>-0.7972111394066409</v>
      </c>
      <c r="AZ84" s="3">
        <f ca="1">INDIRECT(ADDRESS(84,29))</f>
        <v>2827994</v>
      </c>
      <c r="BA84" s="4">
        <f ca="1">IFERROR(INDIRECT(ADDRESS(84,29)) / INDIRECT(ADDRESS(96,29)),0)</f>
        <v>0.12476050221214965</v>
      </c>
      <c r="BB84" s="4">
        <f ca="1">IFERROR((INDIRECT(ADDRESS(84,29)) - INDIRECT(ADDRESS(84,3)))/ INDIRECT(ADDRESS(84,3)),1)</f>
        <v>-0.82558094066840637</v>
      </c>
      <c r="BC84" s="3">
        <f ca="1">INDIRECT(ADDRESS(84,34))</f>
        <v>2489451</v>
      </c>
      <c r="BD84" s="4">
        <f ca="1">IFERROR(INDIRECT(ADDRESS(84,34)) / INDIRECT(ADDRESS(96,34)),0)</f>
        <v>0.12026153874822869</v>
      </c>
      <c r="BE84" s="4">
        <f ca="1">IFERROR((INDIRECT(ADDRESS(84,34)) - INDIRECT(ADDRESS(84,3)))/ INDIRECT(ADDRESS(84,3)),1)</f>
        <v>-0.84646088298910993</v>
      </c>
    </row>
    <row r="85" spans="1:57" x14ac:dyDescent="0.25">
      <c r="A85" s="5"/>
      <c r="B85" s="1" t="s">
        <v>42</v>
      </c>
      <c r="C85">
        <v>6884914.7750000004</v>
      </c>
      <c r="D85">
        <v>6883513.2640000004</v>
      </c>
      <c r="E85">
        <v>6878768.4979999997</v>
      </c>
      <c r="F85">
        <v>6874016.54</v>
      </c>
      <c r="G85">
        <v>6750917.9500000002</v>
      </c>
      <c r="H85">
        <v>6624770.125</v>
      </c>
      <c r="I85">
        <v>6407372.9939999999</v>
      </c>
      <c r="J85">
        <v>6197619.9409999996</v>
      </c>
      <c r="K85">
        <v>5991526.4129999997</v>
      </c>
      <c r="L85">
        <v>5788124.3870000001</v>
      </c>
      <c r="M85">
        <v>5586464.7460000003</v>
      </c>
      <c r="N85">
        <v>5379852.1579999998</v>
      </c>
      <c r="O85">
        <v>5065692.1519999998</v>
      </c>
      <c r="P85">
        <v>4758648.8739999998</v>
      </c>
      <c r="Q85">
        <v>4460208.4340000004</v>
      </c>
      <c r="R85">
        <v>4171124.55</v>
      </c>
      <c r="S85">
        <v>3891648.517</v>
      </c>
      <c r="T85">
        <v>3712550.8360000001</v>
      </c>
      <c r="U85">
        <v>3540378.111</v>
      </c>
      <c r="V85">
        <v>3374770.909</v>
      </c>
      <c r="W85">
        <v>3215236.4410000001</v>
      </c>
      <c r="X85">
        <v>3061079.2510000002</v>
      </c>
      <c r="Y85">
        <v>2909482.227</v>
      </c>
      <c r="Z85">
        <v>2762551.7209999999</v>
      </c>
      <c r="AA85">
        <v>2619921.8020000001</v>
      </c>
      <c r="AB85">
        <v>2481244.9219999998</v>
      </c>
      <c r="AC85">
        <v>2344712.642</v>
      </c>
      <c r="AD85">
        <v>2211382.6549999998</v>
      </c>
      <c r="AE85">
        <v>2081187.8400999999</v>
      </c>
      <c r="AF85">
        <v>1953909.3233</v>
      </c>
      <c r="AG85">
        <v>1829394.601</v>
      </c>
      <c r="AH85">
        <v>1707531.8529000001</v>
      </c>
      <c r="AK85" s="3" t="str">
        <f ca="1">INDIRECT(ADDRESS(85,2))</f>
        <v>Fuel Oil</v>
      </c>
      <c r="AL85" s="3">
        <f ca="1">INDIRECT(ADDRESS(85,3))</f>
        <v>6884914.7750000004</v>
      </c>
      <c r="AM85" s="4">
        <f ca="1">IFERROR(INDIRECT(ADDRESS(85,3)) / INDIRECT(ADDRESS(96,3)),0)</f>
        <v>6.4878949478235526E-2</v>
      </c>
      <c r="AN85" s="3">
        <f ca="1">INDIRECT(ADDRESS(85,9))</f>
        <v>6407372.9939999999</v>
      </c>
      <c r="AO85" s="4">
        <f ca="1">IFERROR(INDIRECT(ADDRESS(85,9)) / INDIRECT(ADDRESS(96,9)),0)</f>
        <v>8.3048710855726279E-2</v>
      </c>
      <c r="AP85" s="4">
        <f ca="1">IFERROR((INDIRECT(ADDRESS(85,9)) - INDIRECT(ADDRESS(85,3)))/ INDIRECT(ADDRESS(85,3)),1)</f>
        <v>-6.9360594372789519E-2</v>
      </c>
      <c r="AQ85" s="3">
        <f ca="1">INDIRECT(ADDRESS(85,14))</f>
        <v>5379852.1579999998</v>
      </c>
      <c r="AR85" s="4">
        <f ca="1">IFERROR(INDIRECT(ADDRESS(85,14)) / INDIRECT(ADDRESS(96,14)),0)</f>
        <v>0.10230311311699987</v>
      </c>
      <c r="AS85" s="4">
        <f ca="1">IFERROR((INDIRECT(ADDRESS(85,14)) - INDIRECT(ADDRESS(85,3)))/ INDIRECT(ADDRESS(85,3)),1)</f>
        <v>-0.21860294080401316</v>
      </c>
      <c r="AT85" s="3">
        <f ca="1">INDIRECT(ADDRESS(85,19))</f>
        <v>3891648.517</v>
      </c>
      <c r="AU85" s="4">
        <f ca="1">IFERROR(INDIRECT(ADDRESS(85,19)) / INDIRECT(ADDRESS(96,19)),0)</f>
        <v>0.10908227687445708</v>
      </c>
      <c r="AV85" s="4">
        <f ca="1">IFERROR((INDIRECT(ADDRESS(85,19)) - INDIRECT(ADDRESS(85,3)))/ INDIRECT(ADDRESS(85,3)),1)</f>
        <v>-0.43475719828354742</v>
      </c>
      <c r="AW85" s="3">
        <f ca="1">INDIRECT(ADDRESS(85,24))</f>
        <v>3061079.2510000002</v>
      </c>
      <c r="AX85" s="4">
        <f ca="1">IFERROR(INDIRECT(ADDRESS(85,24)) / INDIRECT(ADDRESS(96,24)),0)</f>
        <v>0.11292521116095175</v>
      </c>
      <c r="AY85" s="4">
        <f ca="1">IFERROR((INDIRECT(ADDRESS(85,24)) - INDIRECT(ADDRESS(85,3)))/ INDIRECT(ADDRESS(85,3)),1)</f>
        <v>-0.55539329809641691</v>
      </c>
      <c r="AZ85" s="3">
        <f ca="1">INDIRECT(ADDRESS(85,29))</f>
        <v>2344712.642</v>
      </c>
      <c r="BA85" s="4">
        <f ca="1">IFERROR(INDIRECT(ADDRESS(85,29)) / INDIRECT(ADDRESS(96,29)),0)</f>
        <v>0.10343993896701913</v>
      </c>
      <c r="BB85" s="4">
        <f ca="1">IFERROR((INDIRECT(ADDRESS(85,29)) - INDIRECT(ADDRESS(85,3)))/ INDIRECT(ADDRESS(85,3)),1)</f>
        <v>-0.6594420238121248</v>
      </c>
      <c r="BC85" s="3">
        <f ca="1">INDIRECT(ADDRESS(85,34))</f>
        <v>1707531.8529000001</v>
      </c>
      <c r="BD85" s="4">
        <f ca="1">IFERROR(INDIRECT(ADDRESS(85,34)) / INDIRECT(ADDRESS(96,34)),0)</f>
        <v>8.2488230574278468E-2</v>
      </c>
      <c r="BE85" s="4">
        <f ca="1">IFERROR((INDIRECT(ADDRESS(85,34)) - INDIRECT(ADDRESS(85,3)))/ INDIRECT(ADDRESS(85,3)),1)</f>
        <v>-0.75198939875040061</v>
      </c>
    </row>
    <row r="86" spans="1:57" x14ac:dyDescent="0.25">
      <c r="A86" s="5"/>
      <c r="B86" s="1" t="s">
        <v>25</v>
      </c>
      <c r="C86">
        <v>221100.7</v>
      </c>
      <c r="D86">
        <v>221117.6</v>
      </c>
      <c r="E86">
        <v>221611.4</v>
      </c>
      <c r="F86">
        <v>221939.6</v>
      </c>
      <c r="G86">
        <v>220510</v>
      </c>
      <c r="H86">
        <v>215390.3</v>
      </c>
      <c r="I86">
        <v>210399.6</v>
      </c>
      <c r="J86">
        <v>204449.7</v>
      </c>
      <c r="K86">
        <v>198430.9</v>
      </c>
      <c r="L86">
        <v>192278.2</v>
      </c>
      <c r="M86">
        <v>184046.6</v>
      </c>
      <c r="N86">
        <v>128156.3</v>
      </c>
      <c r="O86">
        <v>119250.4</v>
      </c>
      <c r="P86">
        <v>110719.7</v>
      </c>
      <c r="Q86">
        <v>102749.7</v>
      </c>
      <c r="R86">
        <v>95216.84</v>
      </c>
      <c r="S86">
        <v>89360.08</v>
      </c>
      <c r="T86">
        <v>84775.19</v>
      </c>
      <c r="U86">
        <v>80688.02</v>
      </c>
      <c r="V86">
        <v>77073.78</v>
      </c>
      <c r="W86">
        <v>73759.95</v>
      </c>
      <c r="X86">
        <v>71111.44</v>
      </c>
      <c r="Y86">
        <v>69546.44</v>
      </c>
      <c r="Z86">
        <v>68157.850000000006</v>
      </c>
      <c r="AA86">
        <v>66908.929999999993</v>
      </c>
      <c r="AB86">
        <v>65716.289999999994</v>
      </c>
      <c r="AC86">
        <v>52721.760000000002</v>
      </c>
      <c r="AD86">
        <v>51778.33</v>
      </c>
      <c r="AE86">
        <v>50876.78</v>
      </c>
      <c r="AF86">
        <v>50006.21</v>
      </c>
      <c r="AG86">
        <v>49066.57</v>
      </c>
      <c r="AH86">
        <v>48338.52</v>
      </c>
      <c r="AK86" s="3" t="str">
        <f ca="1">INDIRECT(ADDRESS(86,2))</f>
        <v>Fugitive</v>
      </c>
      <c r="AL86" s="3">
        <f ca="1">INDIRECT(ADDRESS(86,3))</f>
        <v>221100.7</v>
      </c>
      <c r="AM86" s="4">
        <f ca="1">IFERROR(INDIRECT(ADDRESS(86,3)) / INDIRECT(ADDRESS(96,3)),0)</f>
        <v>2.0835088906242141E-3</v>
      </c>
      <c r="AN86" s="3">
        <f ca="1">INDIRECT(ADDRESS(86,9))</f>
        <v>210399.6</v>
      </c>
      <c r="AO86" s="4">
        <f ca="1">IFERROR(INDIRECT(ADDRESS(86,9)) / INDIRECT(ADDRESS(96,9)),0)</f>
        <v>2.7270795005882981E-3</v>
      </c>
      <c r="AP86" s="4">
        <f ca="1">IFERROR((INDIRECT(ADDRESS(86,9)) - INDIRECT(ADDRESS(86,3)))/ INDIRECT(ADDRESS(86,3)),1)</f>
        <v>-4.8399213571010881E-2</v>
      </c>
      <c r="AQ86" s="3">
        <f ca="1">INDIRECT(ADDRESS(86,14))</f>
        <v>128156.3</v>
      </c>
      <c r="AR86" s="4">
        <f ca="1">IFERROR(INDIRECT(ADDRESS(86,14)) / INDIRECT(ADDRESS(96,14)),0)</f>
        <v>2.437016496087172E-3</v>
      </c>
      <c r="AS86" s="4">
        <f ca="1">IFERROR((INDIRECT(ADDRESS(86,14)) - INDIRECT(ADDRESS(86,3)))/ INDIRECT(ADDRESS(86,3)),1)</f>
        <v>-0.42037135115356938</v>
      </c>
      <c r="AT86" s="3">
        <f ca="1">INDIRECT(ADDRESS(86,19))</f>
        <v>89360.08</v>
      </c>
      <c r="AU86" s="4">
        <f ca="1">IFERROR(INDIRECT(ADDRESS(86,19)) / INDIRECT(ADDRESS(96,19)),0)</f>
        <v>2.5047485520603699E-3</v>
      </c>
      <c r="AV86" s="4">
        <f ca="1">IFERROR((INDIRECT(ADDRESS(86,19)) - INDIRECT(ADDRESS(86,3)))/ INDIRECT(ADDRESS(86,3)),1)</f>
        <v>-0.59583990462264469</v>
      </c>
      <c r="AW86" s="3">
        <f ca="1">INDIRECT(ADDRESS(86,24))</f>
        <v>71111.44</v>
      </c>
      <c r="AX86" s="4">
        <f ca="1">IFERROR(INDIRECT(ADDRESS(86,24)) / INDIRECT(ADDRESS(96,24)),0)</f>
        <v>2.6233474273284507E-3</v>
      </c>
      <c r="AY86" s="4">
        <f ca="1">IFERROR((INDIRECT(ADDRESS(86,24)) - INDIRECT(ADDRESS(86,3)))/ INDIRECT(ADDRESS(86,3)),1)</f>
        <v>-0.6783753285267754</v>
      </c>
      <c r="AZ86" s="3">
        <f ca="1">INDIRECT(ADDRESS(86,29))</f>
        <v>52721.760000000002</v>
      </c>
      <c r="BA86" s="4">
        <f ca="1">IFERROR(INDIRECT(ADDRESS(86,29)) / INDIRECT(ADDRESS(96,29)),0)</f>
        <v>2.3258865666293577E-3</v>
      </c>
      <c r="BB86" s="4">
        <f ca="1">IFERROR((INDIRECT(ADDRESS(86,29)) - INDIRECT(ADDRESS(86,3)))/ INDIRECT(ADDRESS(86,3)),1)</f>
        <v>-0.76154865181340448</v>
      </c>
      <c r="BC86" s="3">
        <f ca="1">INDIRECT(ADDRESS(86,34))</f>
        <v>48338.52</v>
      </c>
      <c r="BD86" s="4">
        <f ca="1">IFERROR(INDIRECT(ADDRESS(86,34)) / INDIRECT(ADDRESS(96,34)),0)</f>
        <v>2.3351593568268774E-3</v>
      </c>
      <c r="BE86" s="4">
        <f ca="1">IFERROR((INDIRECT(ADDRESS(86,34)) - INDIRECT(ADDRESS(86,3)))/ INDIRECT(ADDRESS(86,3)),1)</f>
        <v>-0.78137328375712978</v>
      </c>
    </row>
    <row r="87" spans="1:57" x14ac:dyDescent="0.25">
      <c r="A87" s="5"/>
      <c r="B87" s="1" t="s">
        <v>43</v>
      </c>
      <c r="C87">
        <v>24286310</v>
      </c>
      <c r="D87">
        <v>24217940</v>
      </c>
      <c r="E87">
        <v>23166380</v>
      </c>
      <c r="F87">
        <v>21963040</v>
      </c>
      <c r="G87">
        <v>20837070</v>
      </c>
      <c r="H87">
        <v>19453880</v>
      </c>
      <c r="I87">
        <v>17345270</v>
      </c>
      <c r="J87">
        <v>15824550</v>
      </c>
      <c r="K87">
        <v>14200710</v>
      </c>
      <c r="L87">
        <v>12547850</v>
      </c>
      <c r="M87">
        <v>10970820</v>
      </c>
      <c r="N87">
        <v>9602140</v>
      </c>
      <c r="O87">
        <v>8439760</v>
      </c>
      <c r="P87">
        <v>7435527</v>
      </c>
      <c r="Q87">
        <v>6526361</v>
      </c>
      <c r="R87">
        <v>5532054</v>
      </c>
      <c r="S87">
        <v>4700137</v>
      </c>
      <c r="T87">
        <v>4104683</v>
      </c>
      <c r="U87">
        <v>3513066</v>
      </c>
      <c r="V87">
        <v>2955847</v>
      </c>
      <c r="W87">
        <v>2488009</v>
      </c>
      <c r="X87">
        <v>2071096</v>
      </c>
      <c r="Y87">
        <v>1698902</v>
      </c>
      <c r="Z87">
        <v>1360282</v>
      </c>
      <c r="AA87">
        <v>1064796</v>
      </c>
      <c r="AB87">
        <v>814465.2</v>
      </c>
      <c r="AC87">
        <v>606112.19999999995</v>
      </c>
      <c r="AD87">
        <v>435967.4</v>
      </c>
      <c r="AE87">
        <v>300082.7</v>
      </c>
      <c r="AF87">
        <v>193213.5</v>
      </c>
      <c r="AG87">
        <v>109065.8</v>
      </c>
      <c r="AH87">
        <v>40572.46</v>
      </c>
      <c r="AK87" s="3" t="str">
        <f ca="1">INDIRECT(ADDRESS(87,2))</f>
        <v>Gasoline</v>
      </c>
      <c r="AL87" s="3">
        <f ca="1">INDIRECT(ADDRESS(87,3))</f>
        <v>24286310</v>
      </c>
      <c r="AM87" s="4">
        <f ca="1">IFERROR(INDIRECT(ADDRESS(87,3)) / INDIRECT(ADDRESS(96,3)),0)</f>
        <v>0.22885835642065247</v>
      </c>
      <c r="AN87" s="3">
        <f ca="1">INDIRECT(ADDRESS(87,9))</f>
        <v>17345270</v>
      </c>
      <c r="AO87" s="4">
        <f ca="1">IFERROR(INDIRECT(ADDRESS(87,9)) / INDIRECT(ADDRESS(96,9)),0)</f>
        <v>0.2248194875330998</v>
      </c>
      <c r="AP87" s="4">
        <f ca="1">IFERROR((INDIRECT(ADDRESS(87,9)) - INDIRECT(ADDRESS(87,3)))/ INDIRECT(ADDRESS(87,3)),1)</f>
        <v>-0.28580051889315422</v>
      </c>
      <c r="AQ87" s="3">
        <f ca="1">INDIRECT(ADDRESS(87,14))</f>
        <v>9602140</v>
      </c>
      <c r="AR87" s="4">
        <f ca="1">IFERROR(INDIRECT(ADDRESS(87,14)) / INDIRECT(ADDRESS(96,14)),0)</f>
        <v>0.1825940166635466</v>
      </c>
      <c r="AS87" s="4">
        <f ca="1">IFERROR((INDIRECT(ADDRESS(87,14)) - INDIRECT(ADDRESS(87,3)))/ INDIRECT(ADDRESS(87,3)),1)</f>
        <v>-0.60462746296164382</v>
      </c>
      <c r="AT87" s="3">
        <f ca="1">INDIRECT(ADDRESS(87,19))</f>
        <v>4700137</v>
      </c>
      <c r="AU87" s="4">
        <f ca="1">IFERROR(INDIRECT(ADDRESS(87,19)) / INDIRECT(ADDRESS(96,19)),0)</f>
        <v>0.131744077951087</v>
      </c>
      <c r="AV87" s="4">
        <f ca="1">IFERROR((INDIRECT(ADDRESS(87,19)) - INDIRECT(ADDRESS(87,3)))/ INDIRECT(ADDRESS(87,3)),1)</f>
        <v>-0.80646969424338233</v>
      </c>
      <c r="AW87" s="3">
        <f ca="1">INDIRECT(ADDRESS(87,24))</f>
        <v>2071096</v>
      </c>
      <c r="AX87" s="4">
        <f ca="1">IFERROR(INDIRECT(ADDRESS(87,24)) / INDIRECT(ADDRESS(96,24)),0)</f>
        <v>7.6404082990728983E-2</v>
      </c>
      <c r="AY87" s="4">
        <f ca="1">IFERROR((INDIRECT(ADDRESS(87,24)) - INDIRECT(ADDRESS(87,3)))/ INDIRECT(ADDRESS(87,3)),1)</f>
        <v>-0.91472166829790114</v>
      </c>
      <c r="AZ87" s="3">
        <f ca="1">INDIRECT(ADDRESS(87,29))</f>
        <v>606112.19999999995</v>
      </c>
      <c r="BA87" s="4">
        <f ca="1">IFERROR(INDIRECT(ADDRESS(87,29)) / INDIRECT(ADDRESS(96,29)),0)</f>
        <v>2.6739399895795709E-2</v>
      </c>
      <c r="BB87" s="4">
        <f ca="1">IFERROR((INDIRECT(ADDRESS(87,29)) - INDIRECT(ADDRESS(87,3)))/ INDIRECT(ADDRESS(87,3)),1)</f>
        <v>-0.97504305100280775</v>
      </c>
      <c r="BC87" s="3">
        <f ca="1">INDIRECT(ADDRESS(87,34))</f>
        <v>40572.46</v>
      </c>
      <c r="BD87" s="4">
        <f ca="1">IFERROR(INDIRECT(ADDRESS(87,34)) / INDIRECT(ADDRESS(96,34)),0)</f>
        <v>1.9599929745156498E-3</v>
      </c>
      <c r="BE87" s="4">
        <f ca="1">IFERROR((INDIRECT(ADDRESS(87,34)) - INDIRECT(ADDRESS(87,3)))/ INDIRECT(ADDRESS(87,3)),1)</f>
        <v>-0.99832941027270095</v>
      </c>
    </row>
    <row r="88" spans="1:57" x14ac:dyDescent="0.25">
      <c r="A88" s="5"/>
      <c r="B88" s="1" t="s">
        <v>44</v>
      </c>
      <c r="C88">
        <v>9786438.5133999996</v>
      </c>
      <c r="D88">
        <v>9728744.0730000008</v>
      </c>
      <c r="E88">
        <v>9804489.1209999993</v>
      </c>
      <c r="F88">
        <v>10159357.706</v>
      </c>
      <c r="G88">
        <v>10115349.004000001</v>
      </c>
      <c r="H88">
        <v>10081691.539999999</v>
      </c>
      <c r="I88">
        <v>2745509.9739999999</v>
      </c>
      <c r="J88">
        <v>2441232.148</v>
      </c>
      <c r="K88">
        <v>2153146.3130000001</v>
      </c>
      <c r="L88">
        <v>1878152.078</v>
      </c>
      <c r="M88">
        <v>1622467.291</v>
      </c>
      <c r="N88">
        <v>1435664.4879999999</v>
      </c>
      <c r="O88">
        <v>1390243.4979999999</v>
      </c>
      <c r="P88">
        <v>1334480.942</v>
      </c>
      <c r="Q88">
        <v>1271701.8970000001</v>
      </c>
      <c r="R88">
        <v>1204019.675</v>
      </c>
      <c r="S88">
        <v>1143946.0319999999</v>
      </c>
      <c r="T88">
        <v>1087746.084</v>
      </c>
      <c r="U88">
        <v>1032243.436</v>
      </c>
      <c r="V88">
        <v>976974.01800000004</v>
      </c>
      <c r="W88">
        <v>922311.66600000008</v>
      </c>
      <c r="X88">
        <v>874484.64099999995</v>
      </c>
      <c r="Y88">
        <v>857475.44099999999</v>
      </c>
      <c r="Z88">
        <v>838068.56500000006</v>
      </c>
      <c r="AA88">
        <v>814528.71400000004</v>
      </c>
      <c r="AB88">
        <v>786990.73599999992</v>
      </c>
      <c r="AC88">
        <v>754745.09900000005</v>
      </c>
      <c r="AD88">
        <v>754745.20900000003</v>
      </c>
      <c r="AE88">
        <v>754745.21100000001</v>
      </c>
      <c r="AF88">
        <v>754745.41299999994</v>
      </c>
      <c r="AG88">
        <v>754745.41899999999</v>
      </c>
      <c r="AH88">
        <v>754745.52300000004</v>
      </c>
      <c r="AK88" s="3" t="str">
        <f ca="1">INDIRECT(ADDRESS(88,2))</f>
        <v>Grid Electricity</v>
      </c>
      <c r="AL88" s="3">
        <f ca="1">INDIRECT(ADDRESS(88,3))</f>
        <v>9786438.5133999996</v>
      </c>
      <c r="AM88" s="4">
        <f ca="1">IFERROR(INDIRECT(ADDRESS(88,3)) / INDIRECT(ADDRESS(96,3)),0)</f>
        <v>9.2221018071024272E-2</v>
      </c>
      <c r="AN88" s="3">
        <f ca="1">INDIRECT(ADDRESS(88,9))</f>
        <v>2745509.9739999999</v>
      </c>
      <c r="AO88" s="4">
        <f ca="1">IFERROR(INDIRECT(ADDRESS(88,9)) / INDIRECT(ADDRESS(96,9)),0)</f>
        <v>3.5585732904226577E-2</v>
      </c>
      <c r="AP88" s="4">
        <f ca="1">IFERROR((INDIRECT(ADDRESS(88,9)) - INDIRECT(ADDRESS(88,3)))/ INDIRECT(ADDRESS(88,3)),1)</f>
        <v>-0.71945769952565142</v>
      </c>
      <c r="AQ88" s="3">
        <f ca="1">INDIRECT(ADDRESS(88,14))</f>
        <v>1435664.4879999999</v>
      </c>
      <c r="AR88" s="4">
        <f ca="1">IFERROR(INDIRECT(ADDRESS(88,14)) / INDIRECT(ADDRESS(96,14)),0)</f>
        <v>2.7300554401949367E-2</v>
      </c>
      <c r="AS88" s="4">
        <f ca="1">IFERROR((INDIRECT(ADDRESS(88,14)) - INDIRECT(ADDRESS(88,3)))/ INDIRECT(ADDRESS(88,3)),1)</f>
        <v>-0.85330061737635932</v>
      </c>
      <c r="AT88" s="3">
        <f ca="1">INDIRECT(ADDRESS(88,19))</f>
        <v>1143946.0319999999</v>
      </c>
      <c r="AU88" s="4">
        <f ca="1">IFERROR(INDIRECT(ADDRESS(88,19)) / INDIRECT(ADDRESS(96,19)),0)</f>
        <v>3.206462177839596E-2</v>
      </c>
      <c r="AV88" s="4">
        <f ca="1">IFERROR((INDIRECT(ADDRESS(88,19)) - INDIRECT(ADDRESS(88,3)))/ INDIRECT(ADDRESS(88,3)),1)</f>
        <v>-0.88310905643215754</v>
      </c>
      <c r="AW88" s="3">
        <f ca="1">INDIRECT(ADDRESS(88,24))</f>
        <v>874484.64099999995</v>
      </c>
      <c r="AX88" s="4">
        <f ca="1">IFERROR(INDIRECT(ADDRESS(88,24)) / INDIRECT(ADDRESS(96,24)),0)</f>
        <v>3.2260309075524185E-2</v>
      </c>
      <c r="AY88" s="4">
        <f ca="1">IFERROR((INDIRECT(ADDRESS(88,24)) - INDIRECT(ADDRESS(88,3)))/ INDIRECT(ADDRESS(88,3)),1)</f>
        <v>-0.91064321920557512</v>
      </c>
      <c r="AZ88" s="3">
        <f ca="1">INDIRECT(ADDRESS(88,29))</f>
        <v>754745.09900000005</v>
      </c>
      <c r="BA88" s="4">
        <f ca="1">IFERROR(INDIRECT(ADDRESS(88,29)) / INDIRECT(ADDRESS(96,29)),0)</f>
        <v>3.3296526652248422E-2</v>
      </c>
      <c r="BB88" s="4">
        <f ca="1">IFERROR((INDIRECT(ADDRESS(88,29)) - INDIRECT(ADDRESS(88,3)))/ INDIRECT(ADDRESS(88,3)),1)</f>
        <v>-0.92287847126750233</v>
      </c>
      <c r="BC88" s="3">
        <f ca="1">INDIRECT(ADDRESS(88,34))</f>
        <v>754745.52300000004</v>
      </c>
      <c r="BD88" s="4">
        <f ca="1">IFERROR(INDIRECT(ADDRESS(88,34)) / INDIRECT(ADDRESS(96,34)),0)</f>
        <v>3.6460592298991477E-2</v>
      </c>
      <c r="BE88" s="4">
        <f ca="1">IFERROR((INDIRECT(ADDRESS(88,34)) - INDIRECT(ADDRESS(88,3)))/ INDIRECT(ADDRESS(88,3)),1)</f>
        <v>-0.92287842794224162</v>
      </c>
    </row>
    <row r="89" spans="1:57" x14ac:dyDescent="0.25">
      <c r="A89" s="5"/>
      <c r="B89" s="1" t="s">
        <v>45</v>
      </c>
      <c r="C89">
        <v>7872484</v>
      </c>
      <c r="D89">
        <v>7872484</v>
      </c>
      <c r="E89">
        <v>7785012</v>
      </c>
      <c r="F89">
        <v>7697540</v>
      </c>
      <c r="G89">
        <v>7610068</v>
      </c>
      <c r="H89">
        <v>7522596</v>
      </c>
      <c r="I89">
        <v>7435124</v>
      </c>
      <c r="J89">
        <v>7347652</v>
      </c>
      <c r="K89">
        <v>7260180</v>
      </c>
      <c r="L89">
        <v>7172708</v>
      </c>
      <c r="M89">
        <v>7085236</v>
      </c>
      <c r="N89">
        <v>6997764</v>
      </c>
      <c r="O89">
        <v>6910292</v>
      </c>
      <c r="P89">
        <v>6822820</v>
      </c>
      <c r="Q89">
        <v>6735348</v>
      </c>
      <c r="R89">
        <v>6647876</v>
      </c>
      <c r="S89">
        <v>6560404</v>
      </c>
      <c r="T89">
        <v>6472932</v>
      </c>
      <c r="U89">
        <v>6385459</v>
      </c>
      <c r="V89">
        <v>6297988</v>
      </c>
      <c r="W89">
        <v>6297988</v>
      </c>
      <c r="X89">
        <v>6297988</v>
      </c>
      <c r="Y89">
        <v>6297988</v>
      </c>
      <c r="Z89">
        <v>6297988</v>
      </c>
      <c r="AA89">
        <v>6297988</v>
      </c>
      <c r="AB89">
        <v>6297988</v>
      </c>
      <c r="AC89">
        <v>6297988</v>
      </c>
      <c r="AD89">
        <v>6297988</v>
      </c>
      <c r="AE89">
        <v>6297988</v>
      </c>
      <c r="AF89">
        <v>6297988</v>
      </c>
      <c r="AG89">
        <v>6297988</v>
      </c>
      <c r="AH89">
        <v>6297988</v>
      </c>
      <c r="AK89" s="3" t="str">
        <f ca="1">INDIRECT(ADDRESS(89,2))</f>
        <v>Jet Fuel</v>
      </c>
      <c r="AL89" s="3">
        <f ca="1">INDIRECT(ADDRESS(89,3))</f>
        <v>7872484</v>
      </c>
      <c r="AM89" s="4">
        <f ca="1">IFERROR(INDIRECT(ADDRESS(89,3)) / INDIRECT(ADDRESS(96,3)),0)</f>
        <v>7.4185158189444336E-2</v>
      </c>
      <c r="AN89" s="3">
        <f ca="1">INDIRECT(ADDRESS(89,9))</f>
        <v>7435124</v>
      </c>
      <c r="AO89" s="4">
        <f ca="1">IFERROR(INDIRECT(ADDRESS(89,9)) / INDIRECT(ADDRESS(96,9)),0)</f>
        <v>9.6369832664758237E-2</v>
      </c>
      <c r="AP89" s="4">
        <f ca="1">IFERROR((INDIRECT(ADDRESS(89,9)) - INDIRECT(ADDRESS(89,3)))/ INDIRECT(ADDRESS(89,3)),1)</f>
        <v>-5.5555527327842143E-2</v>
      </c>
      <c r="AQ89" s="3">
        <f ca="1">INDIRECT(ADDRESS(89,14))</f>
        <v>6997764</v>
      </c>
      <c r="AR89" s="4">
        <f ca="1">IFERROR(INDIRECT(ADDRESS(89,14)) / INDIRECT(ADDRESS(96,14)),0)</f>
        <v>0.13306927793424866</v>
      </c>
      <c r="AS89" s="4">
        <f ca="1">IFERROR((INDIRECT(ADDRESS(89,14)) - INDIRECT(ADDRESS(89,3)))/ INDIRECT(ADDRESS(89,3)),1)</f>
        <v>-0.11111105465568429</v>
      </c>
      <c r="AT89" s="3">
        <f ca="1">INDIRECT(ADDRESS(89,19))</f>
        <v>6560404</v>
      </c>
      <c r="AU89" s="4">
        <f ca="1">IFERROR(INDIRECT(ADDRESS(89,19)) / INDIRECT(ADDRESS(96,19)),0)</f>
        <v>0.18388706030624702</v>
      </c>
      <c r="AV89" s="4">
        <f ca="1">IFERROR((INDIRECT(ADDRESS(89,19)) - INDIRECT(ADDRESS(89,3)))/ INDIRECT(ADDRESS(89,3)),1)</f>
        <v>-0.16666658198352641</v>
      </c>
      <c r="AW89" s="3">
        <f ca="1">INDIRECT(ADDRESS(89,24))</f>
        <v>6297988</v>
      </c>
      <c r="AX89" s="4">
        <f ca="1">IFERROR(INDIRECT(ADDRESS(89,24)) / INDIRECT(ADDRESS(96,24)),0)</f>
        <v>0.23233688724550444</v>
      </c>
      <c r="AY89" s="4">
        <f ca="1">IFERROR((INDIRECT(ADDRESS(89,24)) - INDIRECT(ADDRESS(89,3)))/ INDIRECT(ADDRESS(89,3)),1)</f>
        <v>-0.19999989838023172</v>
      </c>
      <c r="AZ89" s="3">
        <f ca="1">INDIRECT(ADDRESS(89,29))</f>
        <v>6297988</v>
      </c>
      <c r="BA89" s="4">
        <f ca="1">IFERROR(INDIRECT(ADDRESS(89,29)) / INDIRECT(ADDRESS(96,29)),0)</f>
        <v>0.27784363962798081</v>
      </c>
      <c r="BB89" s="4">
        <f ca="1">IFERROR((INDIRECT(ADDRESS(89,29)) - INDIRECT(ADDRESS(89,3)))/ INDIRECT(ADDRESS(89,3)),1)</f>
        <v>-0.19999989838023172</v>
      </c>
      <c r="BC89" s="3">
        <f ca="1">INDIRECT(ADDRESS(89,34))</f>
        <v>6297988</v>
      </c>
      <c r="BD89" s="4">
        <f ca="1">IFERROR(INDIRECT(ADDRESS(89,34)) / INDIRECT(ADDRESS(96,34)),0)</f>
        <v>0.30424608795187347</v>
      </c>
      <c r="BE89" s="4">
        <f ca="1">IFERROR((INDIRECT(ADDRESS(89,34)) - INDIRECT(ADDRESS(89,3)))/ INDIRECT(ADDRESS(89,3)),1)</f>
        <v>-0.19999989838023172</v>
      </c>
    </row>
    <row r="90" spans="1:57" x14ac:dyDescent="0.25">
      <c r="A90" s="5"/>
      <c r="B90" s="1" t="s">
        <v>46</v>
      </c>
      <c r="C90">
        <v>21637454.120000001</v>
      </c>
      <c r="D90">
        <v>21641620.859999999</v>
      </c>
      <c r="E90">
        <v>21699280.300000001</v>
      </c>
      <c r="F90">
        <v>21733022.100000001</v>
      </c>
      <c r="G90">
        <v>21494915.300000001</v>
      </c>
      <c r="H90">
        <v>20850941.600000001</v>
      </c>
      <c r="I90">
        <v>20218437.899999999</v>
      </c>
      <c r="J90">
        <v>19325533.800000001</v>
      </c>
      <c r="K90">
        <v>18423638.600000001</v>
      </c>
      <c r="L90">
        <v>17506263.600000001</v>
      </c>
      <c r="M90">
        <v>16380016.800000001</v>
      </c>
      <c r="N90">
        <v>10560325.4</v>
      </c>
      <c r="O90">
        <v>9250587.3000000007</v>
      </c>
      <c r="P90">
        <v>7969954.2000000002</v>
      </c>
      <c r="Q90">
        <v>6735322.4000000004</v>
      </c>
      <c r="R90">
        <v>5531853</v>
      </c>
      <c r="S90">
        <v>4486995.3</v>
      </c>
      <c r="T90">
        <v>3846233.9</v>
      </c>
      <c r="U90">
        <v>3250288.39</v>
      </c>
      <c r="V90">
        <v>2696966.79</v>
      </c>
      <c r="W90">
        <v>2167549.56</v>
      </c>
      <c r="X90">
        <v>1704457.423</v>
      </c>
      <c r="Y90">
        <v>1633896.6990416429</v>
      </c>
      <c r="Z90">
        <v>1588193.6952815871</v>
      </c>
      <c r="AA90">
        <v>1541839.591894879</v>
      </c>
      <c r="AB90">
        <v>1494797.1886539171</v>
      </c>
      <c r="AC90">
        <v>258138.30494406499</v>
      </c>
      <c r="AD90">
        <v>209739.902065417</v>
      </c>
      <c r="AE90">
        <v>160588.79930487301</v>
      </c>
      <c r="AF90">
        <v>110693.496632956</v>
      </c>
      <c r="AG90">
        <v>60066.193773758998</v>
      </c>
      <c r="AH90">
        <v>8720.8245021260009</v>
      </c>
      <c r="AK90" s="3" t="str">
        <f ca="1">INDIRECT(ADDRESS(90,2))</f>
        <v>Natural Gas</v>
      </c>
      <c r="AL90" s="3">
        <f ca="1">INDIRECT(ADDRESS(90,3))</f>
        <v>21637454.120000001</v>
      </c>
      <c r="AM90" s="4">
        <f ca="1">IFERROR(INDIRECT(ADDRESS(90,3)) / INDIRECT(ADDRESS(96,3)),0)</f>
        <v>0.20389726504481229</v>
      </c>
      <c r="AN90" s="3">
        <f ca="1">INDIRECT(ADDRESS(90,9))</f>
        <v>20218437.899999999</v>
      </c>
      <c r="AO90" s="4">
        <f ca="1">IFERROR(INDIRECT(ADDRESS(90,9)) / INDIRECT(ADDRESS(96,9)),0)</f>
        <v>0.26205984959575734</v>
      </c>
      <c r="AP90" s="4">
        <f ca="1">IFERROR((INDIRECT(ADDRESS(90,9)) - INDIRECT(ADDRESS(90,3)))/ INDIRECT(ADDRESS(90,3)),1)</f>
        <v>-6.5581477937756691E-2</v>
      </c>
      <c r="AQ90" s="3">
        <f ca="1">INDIRECT(ADDRESS(90,14))</f>
        <v>10560325.4</v>
      </c>
      <c r="AR90" s="4">
        <f ca="1">IFERROR(INDIRECT(ADDRESS(90,14)) / INDIRECT(ADDRESS(96,14)),0)</f>
        <v>0.20081484253094359</v>
      </c>
      <c r="AS90" s="4">
        <f ca="1">IFERROR((INDIRECT(ADDRESS(90,14)) - INDIRECT(ADDRESS(90,3)))/ INDIRECT(ADDRESS(90,3)),1)</f>
        <v>-0.51194233196599381</v>
      </c>
      <c r="AT90" s="3">
        <f ca="1">INDIRECT(ADDRESS(90,19))</f>
        <v>4486995.3</v>
      </c>
      <c r="AU90" s="4">
        <f ca="1">IFERROR(INDIRECT(ADDRESS(90,19)) / INDIRECT(ADDRESS(96,19)),0)</f>
        <v>0.12576975066245111</v>
      </c>
      <c r="AV90" s="4">
        <f ca="1">IFERROR((INDIRECT(ADDRESS(90,19)) - INDIRECT(ADDRESS(90,3)))/ INDIRECT(ADDRESS(90,3)),1)</f>
        <v>-0.79262831592314886</v>
      </c>
      <c r="AW90" s="3">
        <f ca="1">INDIRECT(ADDRESS(90,24))</f>
        <v>1704457.423</v>
      </c>
      <c r="AX90" s="4">
        <f ca="1">IFERROR(INDIRECT(ADDRESS(90,24)) / INDIRECT(ADDRESS(96,24)),0)</f>
        <v>6.2878546625099008E-2</v>
      </c>
      <c r="AY90" s="4">
        <f ca="1">IFERROR((INDIRECT(ADDRESS(90,24)) - INDIRECT(ADDRESS(90,3)))/ INDIRECT(ADDRESS(90,3)),1)</f>
        <v>-0.92122652630262403</v>
      </c>
      <c r="AZ90" s="3">
        <f ca="1">INDIRECT(ADDRESS(90,29))</f>
        <v>258138.30494406499</v>
      </c>
      <c r="BA90" s="4">
        <f ca="1">IFERROR(INDIRECT(ADDRESS(90,29)) / INDIRECT(ADDRESS(96,29)),0)</f>
        <v>1.138809508259727E-2</v>
      </c>
      <c r="BB90" s="4">
        <f ca="1">IFERROR((INDIRECT(ADDRESS(90,29)) - INDIRECT(ADDRESS(90,3)))/ INDIRECT(ADDRESS(90,3)),1)</f>
        <v>-0.98806983929290182</v>
      </c>
      <c r="BC90" s="3">
        <f ca="1">INDIRECT(ADDRESS(90,34))</f>
        <v>8720.8245021260009</v>
      </c>
      <c r="BD90" s="4">
        <f ca="1">IFERROR(INDIRECT(ADDRESS(90,34)) / INDIRECT(ADDRESS(96,34)),0)</f>
        <v>4.2128958303615065E-4</v>
      </c>
      <c r="BE90" s="4">
        <f ca="1">IFERROR((INDIRECT(ADDRESS(90,34)) - INDIRECT(ADDRESS(90,3)))/ INDIRECT(ADDRESS(90,3)),1)</f>
        <v>-0.99959695699624551</v>
      </c>
    </row>
    <row r="91" spans="1:57" x14ac:dyDescent="0.25">
      <c r="A91" s="5"/>
      <c r="B91" s="1" t="s">
        <v>47</v>
      </c>
      <c r="C91">
        <v>5790901</v>
      </c>
      <c r="D91">
        <v>5790901</v>
      </c>
      <c r="E91">
        <v>5790901</v>
      </c>
      <c r="F91">
        <v>5790901</v>
      </c>
      <c r="G91">
        <v>5790901</v>
      </c>
      <c r="H91">
        <v>5790901</v>
      </c>
      <c r="I91">
        <v>5790901</v>
      </c>
      <c r="J91">
        <v>5790901</v>
      </c>
      <c r="K91">
        <v>5790901</v>
      </c>
      <c r="L91">
        <v>5790901</v>
      </c>
      <c r="M91">
        <v>5790901</v>
      </c>
      <c r="N91">
        <v>5790901</v>
      </c>
      <c r="O91">
        <v>5790901</v>
      </c>
      <c r="P91">
        <v>5790901</v>
      </c>
      <c r="Q91">
        <v>5790901</v>
      </c>
      <c r="R91">
        <v>5790901</v>
      </c>
      <c r="S91">
        <v>5790901</v>
      </c>
      <c r="T91">
        <v>5790901</v>
      </c>
      <c r="U91">
        <v>5790901</v>
      </c>
      <c r="V91">
        <v>5790901</v>
      </c>
      <c r="W91">
        <v>5790901</v>
      </c>
      <c r="X91">
        <v>5790901</v>
      </c>
      <c r="Y91">
        <v>5790901</v>
      </c>
      <c r="Z91">
        <v>5790901</v>
      </c>
      <c r="AA91">
        <v>5790901</v>
      </c>
      <c r="AB91">
        <v>5790901</v>
      </c>
      <c r="AC91">
        <v>5790901</v>
      </c>
      <c r="AD91">
        <v>5790901</v>
      </c>
      <c r="AE91">
        <v>5790901</v>
      </c>
      <c r="AF91">
        <v>5790901</v>
      </c>
      <c r="AG91">
        <v>5790901</v>
      </c>
      <c r="AH91">
        <v>5790901</v>
      </c>
      <c r="AK91" s="3" t="str">
        <f ca="1">INDIRECT(ADDRESS(91,2))</f>
        <v>Non Energy</v>
      </c>
      <c r="AL91" s="3">
        <f ca="1">INDIRECT(ADDRESS(91,3))</f>
        <v>5790901</v>
      </c>
      <c r="AM91" s="4">
        <f ca="1">IFERROR(INDIRECT(ADDRESS(91,3)) / INDIRECT(ADDRESS(96,3)),0)</f>
        <v>5.4569676704888999E-2</v>
      </c>
      <c r="AN91" s="3">
        <f ca="1">INDIRECT(ADDRESS(91,9))</f>
        <v>5790901</v>
      </c>
      <c r="AO91" s="4">
        <f ca="1">IFERROR(INDIRECT(ADDRESS(91,9)) / INDIRECT(ADDRESS(96,9)),0)</f>
        <v>7.5058352805976225E-2</v>
      </c>
      <c r="AP91" s="4">
        <f ca="1">IFERROR((INDIRECT(ADDRESS(91,9)) - INDIRECT(ADDRESS(91,3)))/ INDIRECT(ADDRESS(91,3)),1)</f>
        <v>0</v>
      </c>
      <c r="AQ91" s="3">
        <f ca="1">INDIRECT(ADDRESS(91,14))</f>
        <v>5790901</v>
      </c>
      <c r="AR91" s="4">
        <f ca="1">IFERROR(INDIRECT(ADDRESS(91,14)) / INDIRECT(ADDRESS(96,14)),0)</f>
        <v>0.11011960601396655</v>
      </c>
      <c r="AS91" s="4">
        <f ca="1">IFERROR((INDIRECT(ADDRESS(91,14)) - INDIRECT(ADDRESS(91,3)))/ INDIRECT(ADDRESS(91,3)),1)</f>
        <v>0</v>
      </c>
      <c r="AT91" s="3">
        <f ca="1">INDIRECT(ADDRESS(91,19))</f>
        <v>5790901</v>
      </c>
      <c r="AU91" s="4">
        <f ca="1">IFERROR(INDIRECT(ADDRESS(91,19)) / INDIRECT(ADDRESS(96,19)),0)</f>
        <v>0.1623180159963481</v>
      </c>
      <c r="AV91" s="4">
        <f ca="1">IFERROR((INDIRECT(ADDRESS(91,19)) - INDIRECT(ADDRESS(91,3)))/ INDIRECT(ADDRESS(91,3)),1)</f>
        <v>0</v>
      </c>
      <c r="AW91" s="3">
        <f ca="1">INDIRECT(ADDRESS(91,24))</f>
        <v>5790901</v>
      </c>
      <c r="AX91" s="4">
        <f ca="1">IFERROR(INDIRECT(ADDRESS(91,24)) / INDIRECT(ADDRESS(96,24)),0)</f>
        <v>0.21363011690191835</v>
      </c>
      <c r="AY91" s="4">
        <f ca="1">IFERROR((INDIRECT(ADDRESS(91,24)) - INDIRECT(ADDRESS(91,3)))/ INDIRECT(ADDRESS(91,3)),1)</f>
        <v>0</v>
      </c>
      <c r="AZ91" s="3">
        <f ca="1">INDIRECT(ADDRESS(91,29))</f>
        <v>5790901</v>
      </c>
      <c r="BA91" s="4">
        <f ca="1">IFERROR(INDIRECT(ADDRESS(91,29)) / INDIRECT(ADDRESS(96,29)),0)</f>
        <v>0.2554728606287141</v>
      </c>
      <c r="BB91" s="4">
        <f ca="1">IFERROR((INDIRECT(ADDRESS(91,29)) - INDIRECT(ADDRESS(91,3)))/ INDIRECT(ADDRESS(91,3)),1)</f>
        <v>0</v>
      </c>
      <c r="BC91" s="3">
        <f ca="1">INDIRECT(ADDRESS(91,34))</f>
        <v>5790901</v>
      </c>
      <c r="BD91" s="4">
        <f ca="1">IFERROR(INDIRECT(ADDRESS(91,34)) / INDIRECT(ADDRESS(96,34)),0)</f>
        <v>0.27974949697690626</v>
      </c>
      <c r="BE91" s="4">
        <f ca="1">IFERROR((INDIRECT(ADDRESS(91,34)) - INDIRECT(ADDRESS(91,3)))/ INDIRECT(ADDRESS(91,3)),1)</f>
        <v>0</v>
      </c>
    </row>
    <row r="92" spans="1:57" x14ac:dyDescent="0.25">
      <c r="A92" s="5"/>
      <c r="B92" s="1" t="s">
        <v>48</v>
      </c>
      <c r="C92">
        <v>3801677</v>
      </c>
      <c r="D92">
        <v>3801677</v>
      </c>
      <c r="E92">
        <v>3801677</v>
      </c>
      <c r="F92">
        <v>3801677</v>
      </c>
      <c r="G92">
        <v>3801677</v>
      </c>
      <c r="H92">
        <v>3801677</v>
      </c>
      <c r="I92">
        <v>3746733</v>
      </c>
      <c r="J92">
        <v>3693429</v>
      </c>
      <c r="K92">
        <v>3641692</v>
      </c>
      <c r="L92">
        <v>3591456</v>
      </c>
      <c r="M92">
        <v>3542654</v>
      </c>
      <c r="N92">
        <v>3495228</v>
      </c>
      <c r="O92">
        <v>3449118</v>
      </c>
      <c r="P92">
        <v>3404272</v>
      </c>
      <c r="Q92">
        <v>3360638</v>
      </c>
      <c r="R92">
        <v>3318167</v>
      </c>
      <c r="S92">
        <v>3276815</v>
      </c>
      <c r="T92">
        <v>3236536</v>
      </c>
      <c r="U92">
        <v>3197290</v>
      </c>
      <c r="V92">
        <v>3159037</v>
      </c>
      <c r="W92">
        <v>3121741</v>
      </c>
      <c r="X92">
        <v>3085367</v>
      </c>
      <c r="Y92">
        <v>3049879</v>
      </c>
      <c r="Z92">
        <v>3015246</v>
      </c>
      <c r="AA92">
        <v>2981437</v>
      </c>
      <c r="AB92">
        <v>2948425</v>
      </c>
      <c r="AC92">
        <v>2916180</v>
      </c>
      <c r="AD92">
        <v>2884676</v>
      </c>
      <c r="AE92">
        <v>2853888</v>
      </c>
      <c r="AF92">
        <v>2823793</v>
      </c>
      <c r="AG92">
        <v>2794365</v>
      </c>
      <c r="AH92">
        <v>2765585</v>
      </c>
      <c r="AK92" s="3" t="str">
        <f ca="1">INDIRECT(ADDRESS(92,2))</f>
        <v>Other</v>
      </c>
      <c r="AL92" s="3">
        <f ca="1">INDIRECT(ADDRESS(92,3))</f>
        <v>3801677</v>
      </c>
      <c r="AM92" s="4">
        <f ca="1">IFERROR(INDIRECT(ADDRESS(92,3)) / INDIRECT(ADDRESS(96,3)),0)</f>
        <v>3.5824526239770338E-2</v>
      </c>
      <c r="AN92" s="3">
        <f ca="1">INDIRECT(ADDRESS(92,9))</f>
        <v>3746733</v>
      </c>
      <c r="AO92" s="4">
        <f ca="1">IFERROR(INDIRECT(ADDRESS(92,9)) / INDIRECT(ADDRESS(96,9)),0)</f>
        <v>4.8563014181004595E-2</v>
      </c>
      <c r="AP92" s="4">
        <f ca="1">IFERROR((INDIRECT(ADDRESS(92,9)) - INDIRECT(ADDRESS(92,3)))/ INDIRECT(ADDRESS(92,3)),1)</f>
        <v>-1.4452569221425177E-2</v>
      </c>
      <c r="AQ92" s="3">
        <f ca="1">INDIRECT(ADDRESS(92,14))</f>
        <v>3495228</v>
      </c>
      <c r="AR92" s="4">
        <f ca="1">IFERROR(INDIRECT(ADDRESS(92,14)) / INDIRECT(ADDRESS(96,14)),0)</f>
        <v>6.6465154608753324E-2</v>
      </c>
      <c r="AS92" s="4">
        <f ca="1">IFERROR((INDIRECT(ADDRESS(92,14)) - INDIRECT(ADDRESS(92,3)))/ INDIRECT(ADDRESS(92,3)),1)</f>
        <v>-8.0608899703999051E-2</v>
      </c>
      <c r="AT92" s="3">
        <f ca="1">INDIRECT(ADDRESS(92,19))</f>
        <v>3276815</v>
      </c>
      <c r="AU92" s="4">
        <f ca="1">IFERROR(INDIRECT(ADDRESS(92,19)) / INDIRECT(ADDRESS(96,19)),0)</f>
        <v>9.1848593092348399E-2</v>
      </c>
      <c r="AV92" s="4">
        <f ca="1">IFERROR((INDIRECT(ADDRESS(92,19)) - INDIRECT(ADDRESS(92,3)))/ INDIRECT(ADDRESS(92,3)),1)</f>
        <v>-0.13806065060235259</v>
      </c>
      <c r="AW92" s="3">
        <f ca="1">INDIRECT(ADDRESS(92,24))</f>
        <v>3085367</v>
      </c>
      <c r="AX92" s="4">
        <f ca="1">IFERROR(INDIRECT(ADDRESS(92,24)) / INDIRECT(ADDRESS(96,24)),0)</f>
        <v>0.11382120207120119</v>
      </c>
      <c r="AY92" s="4">
        <f ca="1">IFERROR((INDIRECT(ADDRESS(92,24)) - INDIRECT(ADDRESS(92,3)))/ INDIRECT(ADDRESS(92,3)),1)</f>
        <v>-0.18841947908778153</v>
      </c>
      <c r="AZ92" s="3">
        <f ca="1">INDIRECT(ADDRESS(92,29))</f>
        <v>2916180</v>
      </c>
      <c r="BA92" s="4">
        <f ca="1">IFERROR(INDIRECT(ADDRESS(92,29)) / INDIRECT(ADDRESS(96,29)),0)</f>
        <v>0.12865093820603105</v>
      </c>
      <c r="BB92" s="4">
        <f ca="1">IFERROR((INDIRECT(ADDRESS(92,29)) - INDIRECT(ADDRESS(92,3)))/ INDIRECT(ADDRESS(92,3)),1)</f>
        <v>-0.23292273383562043</v>
      </c>
      <c r="BC92" s="3">
        <f ca="1">INDIRECT(ADDRESS(92,34))</f>
        <v>2765585</v>
      </c>
      <c r="BD92" s="4">
        <f ca="1">IFERROR(INDIRECT(ADDRESS(92,34)) / INDIRECT(ADDRESS(96,34)),0)</f>
        <v>0.13360114645318186</v>
      </c>
      <c r="BE92" s="4">
        <f ca="1">IFERROR((INDIRECT(ADDRESS(92,34)) - INDIRECT(ADDRESS(92,3)))/ INDIRECT(ADDRESS(92,3)),1)</f>
        <v>-0.2725355152476131</v>
      </c>
    </row>
    <row r="93" spans="1:57" x14ac:dyDescent="0.25">
      <c r="A93" s="5"/>
      <c r="B93" s="1" t="s">
        <v>49</v>
      </c>
      <c r="C93">
        <v>729368.12510000006</v>
      </c>
      <c r="D93">
        <v>728736.72509999992</v>
      </c>
      <c r="E93">
        <v>726780.01119999995</v>
      </c>
      <c r="F93">
        <v>723936.79739999992</v>
      </c>
      <c r="G93">
        <v>714457.10759999999</v>
      </c>
      <c r="H93">
        <v>697290.01769999997</v>
      </c>
      <c r="I93">
        <v>677556.66760000004</v>
      </c>
      <c r="J93">
        <v>653316.09070000006</v>
      </c>
      <c r="K93">
        <v>627602.57479999994</v>
      </c>
      <c r="L93">
        <v>599925.10869999998</v>
      </c>
      <c r="M93">
        <v>567323.28159999999</v>
      </c>
      <c r="N93">
        <v>534300.78350000002</v>
      </c>
      <c r="O93">
        <v>494336.38799999998</v>
      </c>
      <c r="P93">
        <v>454952.84869999997</v>
      </c>
      <c r="Q93">
        <v>417138.261</v>
      </c>
      <c r="R93">
        <v>381218.1911</v>
      </c>
      <c r="S93">
        <v>349870.13630000001</v>
      </c>
      <c r="T93">
        <v>324538.37109999999</v>
      </c>
      <c r="U93">
        <v>301726.59700000001</v>
      </c>
      <c r="V93">
        <v>281131.19679999998</v>
      </c>
      <c r="W93">
        <v>262231.68359999999</v>
      </c>
      <c r="X93">
        <v>244983.3708</v>
      </c>
      <c r="Y93">
        <v>234881.40030000001</v>
      </c>
      <c r="Z93">
        <v>226263.25810000001</v>
      </c>
      <c r="AA93">
        <v>218980.55439999999</v>
      </c>
      <c r="AB93">
        <v>212665.35810000001</v>
      </c>
      <c r="AC93">
        <v>207062.2488</v>
      </c>
      <c r="AD93">
        <v>201660.51269999999</v>
      </c>
      <c r="AE93">
        <v>196504.44380000001</v>
      </c>
      <c r="AF93">
        <v>191527.19390000001</v>
      </c>
      <c r="AG93">
        <v>186603.8903</v>
      </c>
      <c r="AH93">
        <v>181988.20269999999</v>
      </c>
      <c r="AK93" s="3" t="str">
        <f ca="1">INDIRECT(ADDRESS(93,2))</f>
        <v>Propane</v>
      </c>
      <c r="AL93" s="3">
        <f ca="1">INDIRECT(ADDRESS(93,3))</f>
        <v>729368.12510000006</v>
      </c>
      <c r="AM93" s="4">
        <f ca="1">IFERROR(INDIRECT(ADDRESS(93,3)) / INDIRECT(ADDRESS(96,3)),0)</f>
        <v>6.8730898327493493E-3</v>
      </c>
      <c r="AN93" s="3">
        <f ca="1">INDIRECT(ADDRESS(93,9))</f>
        <v>677556.66760000004</v>
      </c>
      <c r="AO93" s="4">
        <f ca="1">IFERROR(INDIRECT(ADDRESS(93,9)) / INDIRECT(ADDRESS(96,9)),0)</f>
        <v>8.7821027164447056E-3</v>
      </c>
      <c r="AP93" s="4">
        <f ca="1">IFERROR((INDIRECT(ADDRESS(93,9)) - INDIRECT(ADDRESS(93,3)))/ INDIRECT(ADDRESS(93,3)),1)</f>
        <v>-7.1036086877112159E-2</v>
      </c>
      <c r="AQ93" s="3">
        <f ca="1">INDIRECT(ADDRESS(93,14))</f>
        <v>534300.78350000002</v>
      </c>
      <c r="AR93" s="4">
        <f ca="1">IFERROR(INDIRECT(ADDRESS(93,14)) / INDIRECT(ADDRESS(96,14)),0)</f>
        <v>1.016024825359191E-2</v>
      </c>
      <c r="AS93" s="4">
        <f ca="1">IFERROR((INDIRECT(ADDRESS(93,14)) - INDIRECT(ADDRESS(93,3)))/ INDIRECT(ADDRESS(93,3)),1)</f>
        <v>-0.26744703379141405</v>
      </c>
      <c r="AT93" s="3">
        <f ca="1">INDIRECT(ADDRESS(93,19))</f>
        <v>349870.13630000001</v>
      </c>
      <c r="AU93" s="4">
        <f ca="1">IFERROR(INDIRECT(ADDRESS(93,19)) / INDIRECT(ADDRESS(96,19)),0)</f>
        <v>9.8068031866868199E-3</v>
      </c>
      <c r="AV93" s="4">
        <f ca="1">IFERROR((INDIRECT(ADDRESS(93,19)) - INDIRECT(ADDRESS(93,3)))/ INDIRECT(ADDRESS(93,3)),1)</f>
        <v>-0.52031063017453494</v>
      </c>
      <c r="AW93" s="3">
        <f ca="1">INDIRECT(ADDRESS(93,24))</f>
        <v>244983.3708</v>
      </c>
      <c r="AX93" s="4">
        <f ca="1">IFERROR(INDIRECT(ADDRESS(93,24)) / INDIRECT(ADDRESS(96,24)),0)</f>
        <v>9.0375964194570092E-3</v>
      </c>
      <c r="AY93" s="4">
        <f ca="1">IFERROR((INDIRECT(ADDRESS(93,24)) - INDIRECT(ADDRESS(93,3)))/ INDIRECT(ADDRESS(93,3)),1)</f>
        <v>-0.66411560586581486</v>
      </c>
      <c r="AZ93" s="3">
        <f ca="1">INDIRECT(ADDRESS(93,29))</f>
        <v>207062.2488</v>
      </c>
      <c r="BA93" s="4">
        <f ca="1">IFERROR(INDIRECT(ADDRESS(93,29)) / INDIRECT(ADDRESS(96,29)),0)</f>
        <v>9.1348108056329268E-3</v>
      </c>
      <c r="BB93" s="4">
        <f ca="1">IFERROR((INDIRECT(ADDRESS(93,29)) - INDIRECT(ADDRESS(93,3)))/ INDIRECT(ADDRESS(93,3)),1)</f>
        <v>-0.71610735145354654</v>
      </c>
      <c r="BC93" s="3">
        <f ca="1">INDIRECT(ADDRESS(93,34))</f>
        <v>181988.20269999999</v>
      </c>
      <c r="BD93" s="4">
        <f ca="1">IFERROR(INDIRECT(ADDRESS(93,34)) / INDIRECT(ADDRESS(96,34)),0)</f>
        <v>8.7915694226263323E-3</v>
      </c>
      <c r="BE93" s="4">
        <f ca="1">IFERROR((INDIRECT(ADDRESS(93,34)) - INDIRECT(ADDRESS(93,3)))/ INDIRECT(ADDRESS(93,3)),1)</f>
        <v>-0.7504851165862938</v>
      </c>
    </row>
    <row r="94" spans="1:57" x14ac:dyDescent="0.25">
      <c r="A94" s="5"/>
      <c r="B94" s="1" t="s">
        <v>50</v>
      </c>
      <c r="C94">
        <v>147.99354122</v>
      </c>
      <c r="D94">
        <v>147.99354105</v>
      </c>
      <c r="E94">
        <v>827.04334098000004</v>
      </c>
      <c r="F94">
        <v>2554.5325415299999</v>
      </c>
      <c r="G94">
        <v>5392.0788500000008</v>
      </c>
      <c r="H94">
        <v>9221.9111099999991</v>
      </c>
      <c r="I94">
        <v>13956.208979999999</v>
      </c>
      <c r="J94">
        <v>19668.933639999999</v>
      </c>
      <c r="K94">
        <v>26149.846000000001</v>
      </c>
      <c r="L94">
        <v>33405.821900000003</v>
      </c>
      <c r="M94">
        <v>41434.644999999997</v>
      </c>
      <c r="N94">
        <v>50248.2454</v>
      </c>
      <c r="O94">
        <v>59947.080499999996</v>
      </c>
      <c r="P94">
        <v>70447.558600000004</v>
      </c>
      <c r="Q94">
        <v>81755.616699999999</v>
      </c>
      <c r="R94">
        <v>93874.603000000003</v>
      </c>
      <c r="S94">
        <v>106797.57180000001</v>
      </c>
      <c r="T94">
        <v>114372.3726</v>
      </c>
      <c r="U94">
        <v>122097.5944</v>
      </c>
      <c r="V94">
        <v>129975.5034</v>
      </c>
      <c r="W94">
        <v>137990.52059999999</v>
      </c>
      <c r="X94">
        <v>146150.48120000001</v>
      </c>
      <c r="Y94">
        <v>154029.61040000001</v>
      </c>
      <c r="Z94">
        <v>162025.72810000001</v>
      </c>
      <c r="AA94">
        <v>170158.96549999999</v>
      </c>
      <c r="AB94">
        <v>178411.16690000001</v>
      </c>
      <c r="AC94">
        <v>186799.6225</v>
      </c>
      <c r="AD94">
        <v>195348.6698</v>
      </c>
      <c r="AE94">
        <v>203997.57320000001</v>
      </c>
      <c r="AF94">
        <v>212740.27100000001</v>
      </c>
      <c r="AG94">
        <v>221561.55040000001</v>
      </c>
      <c r="AH94">
        <v>230491.9871</v>
      </c>
      <c r="AK94" s="3" t="str">
        <f ca="1">INDIRECT(ADDRESS(94,2))</f>
        <v>RNG</v>
      </c>
      <c r="AL94" s="3">
        <f ca="1">INDIRECT(ADDRESS(94,3))</f>
        <v>147.99354122</v>
      </c>
      <c r="AM94" s="4">
        <f ca="1">IFERROR(INDIRECT(ADDRESS(94,3)) / INDIRECT(ADDRESS(96,3)),0)</f>
        <v>1.3945946751269042E-6</v>
      </c>
      <c r="AN94" s="3">
        <f ca="1">INDIRECT(ADDRESS(94,9))</f>
        <v>13956.208979999999</v>
      </c>
      <c r="AO94" s="4">
        <f ca="1">IFERROR(INDIRECT(ADDRESS(94,9)) / INDIRECT(ADDRESS(96,9)),0)</f>
        <v>1.8089241336620562E-4</v>
      </c>
      <c r="AP94" s="4">
        <f ca="1">IFERROR((INDIRECT(ADDRESS(94,9)) - INDIRECT(ADDRESS(94,3)))/ INDIRECT(ADDRESS(94,3)),1)</f>
        <v>93.302824737826754</v>
      </c>
      <c r="AQ94" s="3">
        <f ca="1">INDIRECT(ADDRESS(94,14))</f>
        <v>50248.2454</v>
      </c>
      <c r="AR94" s="4">
        <f ca="1">IFERROR(INDIRECT(ADDRESS(94,14)) / INDIRECT(ADDRESS(96,14)),0)</f>
        <v>9.5551918196168557E-4</v>
      </c>
      <c r="AS94" s="4">
        <f ca="1">IFERROR((INDIRECT(ADDRESS(94,14)) - INDIRECT(ADDRESS(94,3)))/ INDIRECT(ADDRESS(94,3)),1)</f>
        <v>338.52998884798222</v>
      </c>
      <c r="AT94" s="3">
        <f ca="1">INDIRECT(ADDRESS(94,19))</f>
        <v>106797.57180000001</v>
      </c>
      <c r="AU94" s="4">
        <f ca="1">IFERROR(INDIRECT(ADDRESS(94,19)) / INDIRECT(ADDRESS(96,19)),0)</f>
        <v>2.9935186196074731E-3</v>
      </c>
      <c r="AV94" s="4">
        <f ca="1">IFERROR((INDIRECT(ADDRESS(94,19)) - INDIRECT(ADDRESS(94,3)))/ INDIRECT(ADDRESS(94,3)),1)</f>
        <v>720.63670738333053</v>
      </c>
      <c r="AW94" s="3">
        <f ca="1">INDIRECT(ADDRESS(94,24))</f>
        <v>146150.48120000001</v>
      </c>
      <c r="AX94" s="4">
        <f ca="1">IFERROR(INDIRECT(ADDRESS(94,24)) / INDIRECT(ADDRESS(96,24)),0)</f>
        <v>5.3915866259892234E-3</v>
      </c>
      <c r="AY94" s="4">
        <f ca="1">IFERROR((INDIRECT(ADDRESS(94,24)) - INDIRECT(ADDRESS(94,3)))/ INDIRECT(ADDRESS(94,3)),1)</f>
        <v>986.54634827434677</v>
      </c>
      <c r="AZ94" s="3">
        <f ca="1">INDIRECT(ADDRESS(94,29))</f>
        <v>186799.6225</v>
      </c>
      <c r="BA94" s="4">
        <f ca="1">IFERROR(INDIRECT(ADDRESS(94,29)) / INDIRECT(ADDRESS(96,29)),0)</f>
        <v>8.2408996327927048E-3</v>
      </c>
      <c r="BB94" s="4">
        <f ca="1">IFERROR((INDIRECT(ADDRESS(94,29)) - INDIRECT(ADDRESS(94,3)))/ INDIRECT(ADDRESS(94,3)),1)</f>
        <v>1261.2146950474871</v>
      </c>
      <c r="BC94" s="3">
        <f ca="1">INDIRECT(ADDRESS(94,34))</f>
        <v>230491.9871</v>
      </c>
      <c r="BD94" s="4">
        <f ca="1">IFERROR(INDIRECT(ADDRESS(94,34)) / INDIRECT(ADDRESS(96,34)),0)</f>
        <v>1.1134712447757709E-2</v>
      </c>
      <c r="BE94" s="4">
        <f ca="1">IFERROR((INDIRECT(ADDRESS(94,34)) - INDIRECT(ADDRESS(94,3)))/ INDIRECT(ADDRESS(94,3)),1)</f>
        <v>1556.4462588023475</v>
      </c>
    </row>
    <row r="95" spans="1:57" x14ac:dyDescent="0.25">
      <c r="A95" s="5"/>
      <c r="B95" s="1" t="s">
        <v>51</v>
      </c>
      <c r="C95">
        <v>384783.25699999998</v>
      </c>
      <c r="D95">
        <v>384263.35700000002</v>
      </c>
      <c r="E95">
        <v>381739.75699999998</v>
      </c>
      <c r="F95">
        <v>378375.65700000001</v>
      </c>
      <c r="G95">
        <v>373053.75699999998</v>
      </c>
      <c r="H95">
        <v>366245.05699999997</v>
      </c>
      <c r="I95">
        <v>356073.15700000001</v>
      </c>
      <c r="J95">
        <v>345312.05699999997</v>
      </c>
      <c r="K95">
        <v>333889.45699999999</v>
      </c>
      <c r="L95">
        <v>321379.15700000001</v>
      </c>
      <c r="M95">
        <v>307337.25699999998</v>
      </c>
      <c r="N95">
        <v>291581.17700000003</v>
      </c>
      <c r="O95">
        <v>275341.75699999998</v>
      </c>
      <c r="P95">
        <v>259337.997</v>
      </c>
      <c r="Q95">
        <v>244242.897</v>
      </c>
      <c r="R95">
        <v>230575.057</v>
      </c>
      <c r="S95">
        <v>218668.51699999999</v>
      </c>
      <c r="T95">
        <v>208742.13699999999</v>
      </c>
      <c r="U95">
        <v>200740.00700000001</v>
      </c>
      <c r="V95">
        <v>194490.217</v>
      </c>
      <c r="W95">
        <v>189728.23800000001</v>
      </c>
      <c r="X95">
        <v>186113.01300000001</v>
      </c>
      <c r="Y95">
        <v>183527.33199999999</v>
      </c>
      <c r="Z95">
        <v>181468.15</v>
      </c>
      <c r="AA95">
        <v>179750.28</v>
      </c>
      <c r="AB95">
        <v>178270.78</v>
      </c>
      <c r="AC95">
        <v>176949.32610000001</v>
      </c>
      <c r="AD95">
        <v>175683.29920000001</v>
      </c>
      <c r="AE95">
        <v>174490.60870000001</v>
      </c>
      <c r="AF95">
        <v>173355.7</v>
      </c>
      <c r="AG95">
        <v>172270.63279999999</v>
      </c>
      <c r="AH95">
        <v>171229.82250000001</v>
      </c>
      <c r="AK95" s="3" t="str">
        <f ca="1">INDIRECT(ADDRESS(95,2))</f>
        <v>Wood</v>
      </c>
      <c r="AL95" s="3">
        <f ca="1">INDIRECT(ADDRESS(95,3))</f>
        <v>384783.25699999998</v>
      </c>
      <c r="AM95" s="4">
        <f ca="1">IFERROR(INDIRECT(ADDRESS(95,3)) / INDIRECT(ADDRESS(96,3)),0)</f>
        <v>3.6259466248765465E-3</v>
      </c>
      <c r="AN95" s="3">
        <f ca="1">INDIRECT(ADDRESS(95,9))</f>
        <v>356073.15700000001</v>
      </c>
      <c r="AO95" s="4">
        <f ca="1">IFERROR(INDIRECT(ADDRESS(95,9)) / INDIRECT(ADDRESS(96,9)),0)</f>
        <v>4.6152169831333266E-3</v>
      </c>
      <c r="AP95" s="4">
        <f ca="1">IFERROR((INDIRECT(ADDRESS(95,9)) - INDIRECT(ADDRESS(95,3)))/ INDIRECT(ADDRESS(95,3)),1)</f>
        <v>-7.4613693495504604E-2</v>
      </c>
      <c r="AQ95" s="3">
        <f ca="1">INDIRECT(ADDRESS(95,14))</f>
        <v>291581.17700000003</v>
      </c>
      <c r="AR95" s="4">
        <f ca="1">IFERROR(INDIRECT(ADDRESS(95,14)) / INDIRECT(ADDRESS(96,14)),0)</f>
        <v>5.5446992328704375E-3</v>
      </c>
      <c r="AS95" s="4">
        <f ca="1">IFERROR((INDIRECT(ADDRESS(95,14)) - INDIRECT(ADDRESS(95,3)))/ INDIRECT(ADDRESS(95,3)),1)</f>
        <v>-0.24221968680929368</v>
      </c>
      <c r="AT95" s="3">
        <f ca="1">INDIRECT(ADDRESS(95,19))</f>
        <v>218668.51699999999</v>
      </c>
      <c r="AU95" s="4">
        <f ca="1">IFERROR(INDIRECT(ADDRESS(95,19)) / INDIRECT(ADDRESS(96,19)),0)</f>
        <v>6.1292430729352337E-3</v>
      </c>
      <c r="AV95" s="4">
        <f ca="1">IFERROR((INDIRECT(ADDRESS(95,19)) - INDIRECT(ADDRESS(95,3)))/ INDIRECT(ADDRESS(95,3)),1)</f>
        <v>-0.43170989635861418</v>
      </c>
      <c r="AW95" s="3">
        <f ca="1">INDIRECT(ADDRESS(95,24))</f>
        <v>186113.01300000001</v>
      </c>
      <c r="AX95" s="4">
        <f ca="1">IFERROR(INDIRECT(ADDRESS(95,24)) / INDIRECT(ADDRESS(96,24)),0)</f>
        <v>6.8658305027418445E-3</v>
      </c>
      <c r="AY95" s="4">
        <f ca="1">IFERROR((INDIRECT(ADDRESS(95,24)) - INDIRECT(ADDRESS(95,3)))/ INDIRECT(ADDRESS(95,3)),1)</f>
        <v>-0.51631727832689978</v>
      </c>
      <c r="AZ95" s="3">
        <f ca="1">INDIRECT(ADDRESS(95,29))</f>
        <v>176949.32610000001</v>
      </c>
      <c r="BA95" s="4">
        <f ca="1">IFERROR(INDIRECT(ADDRESS(95,29)) / INDIRECT(ADDRESS(96,29)),0)</f>
        <v>7.8063414527532382E-3</v>
      </c>
      <c r="BB95" s="4">
        <f ca="1">IFERROR((INDIRECT(ADDRESS(95,29)) - INDIRECT(ADDRESS(95,3)))/ INDIRECT(ADDRESS(95,3)),1)</f>
        <v>-0.5401324696931914</v>
      </c>
      <c r="BC95" s="3">
        <f ca="1">INDIRECT(ADDRESS(95,34))</f>
        <v>171229.82250000001</v>
      </c>
      <c r="BD95" s="4">
        <f ca="1">IFERROR(INDIRECT(ADDRESS(95,34)) / INDIRECT(ADDRESS(96,34)),0)</f>
        <v>8.271848666005506E-3</v>
      </c>
      <c r="BE95" s="4">
        <f ca="1">IFERROR((INDIRECT(ADDRESS(95,34)) - INDIRECT(ADDRESS(95,3)))/ INDIRECT(ADDRESS(95,3)),1)</f>
        <v>-0.55499669129314533</v>
      </c>
    </row>
    <row r="96" spans="1:57" x14ac:dyDescent="0.25">
      <c r="A96" s="1" t="s">
        <v>21</v>
      </c>
      <c r="B96" s="1"/>
      <c r="C96">
        <v>106119393.58404119</v>
      </c>
      <c r="D96">
        <v>105312188.9726411</v>
      </c>
      <c r="E96">
        <v>103585732.330541</v>
      </c>
      <c r="F96">
        <v>101944430.1329415</v>
      </c>
      <c r="G96">
        <v>99591001.497450009</v>
      </c>
      <c r="H96">
        <v>96440735.95081</v>
      </c>
      <c r="I96">
        <v>77151986.201579988</v>
      </c>
      <c r="J96">
        <v>73211193.970339999</v>
      </c>
      <c r="K96">
        <v>69218893.703799993</v>
      </c>
      <c r="L96">
        <v>65217876.252600007</v>
      </c>
      <c r="M96">
        <v>61119997.420599997</v>
      </c>
      <c r="N96">
        <v>52587374.851899996</v>
      </c>
      <c r="O96">
        <v>48868570.075499997</v>
      </c>
      <c r="P96">
        <v>45368730.920300007</v>
      </c>
      <c r="Q96">
        <v>42035116.005700007</v>
      </c>
      <c r="R96">
        <v>38663522.216100007</v>
      </c>
      <c r="S96">
        <v>35676267.754099987</v>
      </c>
      <c r="T96">
        <v>33710882.590700001</v>
      </c>
      <c r="U96">
        <v>31813780.655400001</v>
      </c>
      <c r="V96">
        <v>30015647.814199999</v>
      </c>
      <c r="W96">
        <v>28490939.5592</v>
      </c>
      <c r="X96">
        <v>27107137.719999999</v>
      </c>
      <c r="Y96">
        <v>26343161.549741641</v>
      </c>
      <c r="Z96">
        <v>25647880.467481591</v>
      </c>
      <c r="AA96">
        <v>25004003.437794879</v>
      </c>
      <c r="AB96">
        <v>24412922.84165391</v>
      </c>
      <c r="AC96">
        <v>22667382.303344071</v>
      </c>
      <c r="AD96">
        <v>22202290.277765419</v>
      </c>
      <c r="AE96">
        <v>21779762.456104871</v>
      </c>
      <c r="AF96">
        <v>21393581.207832951</v>
      </c>
      <c r="AG96">
        <v>21036263.457273759</v>
      </c>
      <c r="AH96">
        <v>20700308.892702129</v>
      </c>
    </row>
    <row r="97" spans="1:57" x14ac:dyDescent="0.25">
      <c r="A97" s="5" t="s">
        <v>3</v>
      </c>
      <c r="B97" s="1" t="s">
        <v>40</v>
      </c>
      <c r="C97">
        <v>8510024.0999999996</v>
      </c>
      <c r="D97">
        <v>8510023.0999999996</v>
      </c>
      <c r="E97">
        <v>8510023.0999999996</v>
      </c>
      <c r="F97">
        <v>8510023.0999999996</v>
      </c>
      <c r="G97">
        <v>8152523.2999999998</v>
      </c>
      <c r="H97">
        <v>7795023.5999999996</v>
      </c>
      <c r="I97">
        <v>430114.9</v>
      </c>
      <c r="J97">
        <v>414022.1</v>
      </c>
      <c r="K97">
        <v>397924.4</v>
      </c>
      <c r="L97">
        <v>381821.7</v>
      </c>
      <c r="M97">
        <v>365714.2</v>
      </c>
      <c r="N97">
        <v>349601.6</v>
      </c>
      <c r="O97">
        <v>342131.1</v>
      </c>
      <c r="P97">
        <v>334655.2</v>
      </c>
      <c r="Q97">
        <v>327173.8</v>
      </c>
      <c r="R97">
        <v>319687</v>
      </c>
      <c r="S97">
        <v>312194.7</v>
      </c>
      <c r="T97">
        <v>304775.2</v>
      </c>
      <c r="U97">
        <v>297347</v>
      </c>
      <c r="V97">
        <v>289909.90000000002</v>
      </c>
      <c r="W97">
        <v>282464.2</v>
      </c>
      <c r="X97">
        <v>275009.8</v>
      </c>
      <c r="Y97">
        <v>260576.9</v>
      </c>
      <c r="Z97">
        <v>246135.1</v>
      </c>
      <c r="AA97">
        <v>231684.2</v>
      </c>
      <c r="AB97">
        <v>217224.2</v>
      </c>
      <c r="AC97">
        <v>202755.3</v>
      </c>
      <c r="AD97">
        <v>188230.8</v>
      </c>
      <c r="AE97">
        <v>173702.8</v>
      </c>
      <c r="AF97">
        <v>159171.20000000001</v>
      </c>
      <c r="AG97">
        <v>144636.20000000001</v>
      </c>
      <c r="AH97">
        <v>130097.7</v>
      </c>
      <c r="AK97" s="3" t="str">
        <f ca="1">INDIRECT(ADDRESS(97,2))</f>
        <v>Coal</v>
      </c>
      <c r="AL97" s="3">
        <f ca="1">INDIRECT(ADDRESS(97,3))</f>
        <v>8510024.0999999996</v>
      </c>
      <c r="AM97" s="4">
        <f ca="1">IFERROR(INDIRECT(ADDRESS(97,3)) / INDIRECT(ADDRESS(110,3)),0)</f>
        <v>8.0192920564142608E-2</v>
      </c>
      <c r="AN97" s="3">
        <f ca="1">INDIRECT(ADDRESS(97,9))</f>
        <v>430114.9</v>
      </c>
      <c r="AO97" s="4">
        <f ca="1">IFERROR(INDIRECT(ADDRESS(97,9)) / INDIRECT(ADDRESS(110,9)),0)</f>
        <v>5.6175561082921505E-3</v>
      </c>
      <c r="AP97" s="4">
        <f ca="1">IFERROR((INDIRECT(ADDRESS(97,9)) - INDIRECT(ADDRESS(97,3)))/ INDIRECT(ADDRESS(97,3)),1)</f>
        <v>-0.94945785171160679</v>
      </c>
      <c r="AQ97" s="3">
        <f ca="1">INDIRECT(ADDRESS(97,14))</f>
        <v>349601.6</v>
      </c>
      <c r="AR97" s="4">
        <f ca="1">IFERROR(INDIRECT(ADDRESS(97,14)) / INDIRECT(ADDRESS(110,14)),0)</f>
        <v>6.4868968579631153E-3</v>
      </c>
      <c r="AS97" s="4">
        <f ca="1">IFERROR((INDIRECT(ADDRESS(97,14)) - INDIRECT(ADDRESS(97,3)))/ INDIRECT(ADDRESS(97,3)),1)</f>
        <v>-0.95891884724509768</v>
      </c>
      <c r="AT97" s="3">
        <f ca="1">INDIRECT(ADDRESS(97,19))</f>
        <v>312194.7</v>
      </c>
      <c r="AU97" s="4">
        <f ca="1">IFERROR(INDIRECT(ADDRESS(97,19)) / INDIRECT(ADDRESS(110,19)),0)</f>
        <v>6.9684116065298609E-3</v>
      </c>
      <c r="AV97" s="4">
        <f ca="1">IFERROR((INDIRECT(ADDRESS(97,19)) - INDIRECT(ADDRESS(97,3)))/ INDIRECT(ADDRESS(97,3)),1)</f>
        <v>-0.96331447521987623</v>
      </c>
      <c r="AW97" s="3">
        <f ca="1">INDIRECT(ADDRESS(97,24))</f>
        <v>275009.8</v>
      </c>
      <c r="AX97" s="4">
        <f ca="1">IFERROR(INDIRECT(ADDRESS(97,24)) / INDIRECT(ADDRESS(110,24)),0)</f>
        <v>7.1897136832821317E-3</v>
      </c>
      <c r="AY97" s="4">
        <f ca="1">IFERROR((INDIRECT(ADDRESS(97,24)) - INDIRECT(ADDRESS(97,3)))/ INDIRECT(ADDRESS(97,3)),1)</f>
        <v>-0.96768401631201018</v>
      </c>
      <c r="AZ97" s="3">
        <f ca="1">INDIRECT(ADDRESS(97,29))</f>
        <v>202755.3</v>
      </c>
      <c r="BA97" s="4">
        <f ca="1">IFERROR(INDIRECT(ADDRESS(97,29)) / INDIRECT(ADDRESS(110,29)),0)</f>
        <v>6.4455631113526091E-3</v>
      </c>
      <c r="BB97" s="4">
        <f ca="1">IFERROR((INDIRECT(ADDRESS(97,29)) - INDIRECT(ADDRESS(97,3)))/ INDIRECT(ADDRESS(97,3)),1)</f>
        <v>-0.97617453280772737</v>
      </c>
      <c r="BC97" s="3">
        <f ca="1">INDIRECT(ADDRESS(97,34))</f>
        <v>130097.7</v>
      </c>
      <c r="BD97" s="4">
        <f ca="1">IFERROR(INDIRECT(ADDRESS(97,34)) / INDIRECT(ADDRESS(110,34)),0)</f>
        <v>4.8054519486999889E-3</v>
      </c>
      <c r="BE97" s="4">
        <f ca="1">IFERROR((INDIRECT(ADDRESS(97,34)) - INDIRECT(ADDRESS(97,3)))/ INDIRECT(ADDRESS(97,3)),1)</f>
        <v>-0.98471241697188616</v>
      </c>
    </row>
    <row r="98" spans="1:57" x14ac:dyDescent="0.25">
      <c r="A98" s="5"/>
      <c r="B98" s="1" t="s">
        <v>41</v>
      </c>
      <c r="C98">
        <v>16213790</v>
      </c>
      <c r="D98">
        <v>15531020</v>
      </c>
      <c r="E98">
        <v>15205390</v>
      </c>
      <c r="F98">
        <v>14842170</v>
      </c>
      <c r="G98">
        <v>14122210</v>
      </c>
      <c r="H98">
        <v>13408740</v>
      </c>
      <c r="I98">
        <v>12761560</v>
      </c>
      <c r="J98">
        <v>12066740</v>
      </c>
      <c r="K98">
        <v>11413490</v>
      </c>
      <c r="L98">
        <v>10785560</v>
      </c>
      <c r="M98">
        <v>10184660</v>
      </c>
      <c r="N98">
        <v>9622387</v>
      </c>
      <c r="O98">
        <v>9239758</v>
      </c>
      <c r="P98">
        <v>8880365</v>
      </c>
      <c r="Q98">
        <v>8533634</v>
      </c>
      <c r="R98">
        <v>8189600</v>
      </c>
      <c r="S98">
        <v>7872010</v>
      </c>
      <c r="T98">
        <v>7562693</v>
      </c>
      <c r="U98">
        <v>7264205</v>
      </c>
      <c r="V98">
        <v>6978830</v>
      </c>
      <c r="W98">
        <v>6802549</v>
      </c>
      <c r="X98">
        <v>6636570</v>
      </c>
      <c r="Y98">
        <v>6400076</v>
      </c>
      <c r="Z98">
        <v>6178080</v>
      </c>
      <c r="AA98">
        <v>5970364</v>
      </c>
      <c r="AB98">
        <v>5776032</v>
      </c>
      <c r="AC98">
        <v>5593900</v>
      </c>
      <c r="AD98">
        <v>5423172</v>
      </c>
      <c r="AE98">
        <v>5262516</v>
      </c>
      <c r="AF98">
        <v>5111098</v>
      </c>
      <c r="AG98">
        <v>4968216</v>
      </c>
      <c r="AH98">
        <v>4833335</v>
      </c>
      <c r="AK98" s="3" t="str">
        <f ca="1">INDIRECT(ADDRESS(98,2))</f>
        <v>Diesel</v>
      </c>
      <c r="AL98" s="3">
        <f ca="1">INDIRECT(ADDRESS(98,3))</f>
        <v>16213790</v>
      </c>
      <c r="AM98" s="4">
        <f ca="1">IFERROR(INDIRECT(ADDRESS(98,3)) / INDIRECT(ADDRESS(110,3)),0)</f>
        <v>0.15278818934410418</v>
      </c>
      <c r="AN98" s="3">
        <f ca="1">INDIRECT(ADDRESS(98,9))</f>
        <v>12761560</v>
      </c>
      <c r="AO98" s="4">
        <f ca="1">IFERROR(INDIRECT(ADDRESS(98,9)) / INDIRECT(ADDRESS(110,9)),0)</f>
        <v>0.16667355473929588</v>
      </c>
      <c r="AP98" s="4">
        <f ca="1">IFERROR((INDIRECT(ADDRESS(98,9)) - INDIRECT(ADDRESS(98,3)))/ INDIRECT(ADDRESS(98,3)),1)</f>
        <v>-0.21291937295351673</v>
      </c>
      <c r="AQ98" s="3">
        <f ca="1">INDIRECT(ADDRESS(98,14))</f>
        <v>9622387</v>
      </c>
      <c r="AR98" s="4">
        <f ca="1">IFERROR(INDIRECT(ADDRESS(98,14)) / INDIRECT(ADDRESS(110,14)),0)</f>
        <v>0.17854446889374972</v>
      </c>
      <c r="AS98" s="4">
        <f ca="1">IFERROR((INDIRECT(ADDRESS(98,14)) - INDIRECT(ADDRESS(98,3)))/ INDIRECT(ADDRESS(98,3)),1)</f>
        <v>-0.40653067543122245</v>
      </c>
      <c r="AT98" s="3">
        <f ca="1">INDIRECT(ADDRESS(98,19))</f>
        <v>7872010</v>
      </c>
      <c r="AU98" s="4">
        <f ca="1">IFERROR(INDIRECT(ADDRESS(98,19)) / INDIRECT(ADDRESS(110,19)),0)</f>
        <v>0.17570895934722508</v>
      </c>
      <c r="AV98" s="4">
        <f ca="1">IFERROR((INDIRECT(ADDRESS(98,19)) - INDIRECT(ADDRESS(98,3)))/ INDIRECT(ADDRESS(98,3)),1)</f>
        <v>-0.51448674245811743</v>
      </c>
      <c r="AW98" s="3">
        <f ca="1">INDIRECT(ADDRESS(98,24))</f>
        <v>6636570</v>
      </c>
      <c r="AX98" s="4">
        <f ca="1">IFERROR(INDIRECT(ADDRESS(98,24)) / INDIRECT(ADDRESS(110,24)),0)</f>
        <v>0.17350304657892082</v>
      </c>
      <c r="AY98" s="4">
        <f ca="1">IFERROR((INDIRECT(ADDRESS(98,24)) - INDIRECT(ADDRESS(98,3)))/ INDIRECT(ADDRESS(98,3)),1)</f>
        <v>-0.59068360944603326</v>
      </c>
      <c r="AZ98" s="3">
        <f ca="1">INDIRECT(ADDRESS(98,29))</f>
        <v>5593900</v>
      </c>
      <c r="BA98" s="4">
        <f ca="1">IFERROR(INDIRECT(ADDRESS(98,29)) / INDIRECT(ADDRESS(110,29)),0)</f>
        <v>0.17782931192721158</v>
      </c>
      <c r="BB98" s="4">
        <f ca="1">IFERROR((INDIRECT(ADDRESS(98,29)) - INDIRECT(ADDRESS(98,3)))/ INDIRECT(ADDRESS(98,3)),1)</f>
        <v>-0.65499121426884155</v>
      </c>
      <c r="BC98" s="3">
        <f ca="1">INDIRECT(ADDRESS(98,34))</f>
        <v>4833335</v>
      </c>
      <c r="BD98" s="4">
        <f ca="1">IFERROR(INDIRECT(ADDRESS(98,34)) / INDIRECT(ADDRESS(110,34)),0)</f>
        <v>0.17853012846860369</v>
      </c>
      <c r="BE98" s="4">
        <f ca="1">IFERROR((INDIRECT(ADDRESS(98,34)) - INDIRECT(ADDRESS(98,3)))/ INDIRECT(ADDRESS(98,3)),1)</f>
        <v>-0.70189974089956764</v>
      </c>
    </row>
    <row r="99" spans="1:57" x14ac:dyDescent="0.25">
      <c r="A99" s="5"/>
      <c r="B99" s="1" t="s">
        <v>42</v>
      </c>
      <c r="C99">
        <v>6884914.7750000004</v>
      </c>
      <c r="D99">
        <v>6883513.2640000004</v>
      </c>
      <c r="E99">
        <v>6879757.398</v>
      </c>
      <c r="F99">
        <v>6876059.8399999999</v>
      </c>
      <c r="G99">
        <v>6655552.7190000014</v>
      </c>
      <c r="H99">
        <v>6434653.6670000004</v>
      </c>
      <c r="I99">
        <v>6212958.801</v>
      </c>
      <c r="J99">
        <v>5994820.9959999993</v>
      </c>
      <c r="K99">
        <v>5776532.6599999992</v>
      </c>
      <c r="L99">
        <v>5557766.3319999985</v>
      </c>
      <c r="M99">
        <v>5338291.7369999997</v>
      </c>
      <c r="N99">
        <v>5113836.7466000002</v>
      </c>
      <c r="O99">
        <v>5009839.4435999999</v>
      </c>
      <c r="P99">
        <v>4905465.1565999994</v>
      </c>
      <c r="Q99">
        <v>4801315.1476999996</v>
      </c>
      <c r="R99">
        <v>4697920.8078000015</v>
      </c>
      <c r="S99">
        <v>4596061.8108000001</v>
      </c>
      <c r="T99">
        <v>4499368.9748</v>
      </c>
      <c r="U99">
        <v>4403810.1129000001</v>
      </c>
      <c r="V99">
        <v>4309202.5329</v>
      </c>
      <c r="W99">
        <v>4215320.6499999994</v>
      </c>
      <c r="X99">
        <v>4121942.398</v>
      </c>
      <c r="Y99">
        <v>3935231.1819000002</v>
      </c>
      <c r="Z99">
        <v>3748865.1858000001</v>
      </c>
      <c r="AA99">
        <v>3562726.2897000001</v>
      </c>
      <c r="AB99">
        <v>3376712.1762000001</v>
      </c>
      <c r="AC99">
        <v>3190327.1823</v>
      </c>
      <c r="AD99">
        <v>3002010.9024999999</v>
      </c>
      <c r="AE99">
        <v>2813732.2839000002</v>
      </c>
      <c r="AF99">
        <v>2625401.8670999999</v>
      </c>
      <c r="AG99">
        <v>2436972.1433999999</v>
      </c>
      <c r="AH99">
        <v>2248421.5673000002</v>
      </c>
      <c r="AK99" s="3" t="str">
        <f ca="1">INDIRECT(ADDRESS(99,2))</f>
        <v>Fuel Oil</v>
      </c>
      <c r="AL99" s="3">
        <f ca="1">INDIRECT(ADDRESS(99,3))</f>
        <v>6884914.7750000004</v>
      </c>
      <c r="AM99" s="4">
        <f ca="1">IFERROR(INDIRECT(ADDRESS(99,3)) / INDIRECT(ADDRESS(110,3)),0)</f>
        <v>6.4878949478235526E-2</v>
      </c>
      <c r="AN99" s="3">
        <f ca="1">INDIRECT(ADDRESS(99,9))</f>
        <v>6212958.801</v>
      </c>
      <c r="AO99" s="4">
        <f ca="1">IFERROR(INDIRECT(ADDRESS(99,9)) / INDIRECT(ADDRESS(110,9)),0)</f>
        <v>8.1144932814754905E-2</v>
      </c>
      <c r="AP99" s="4">
        <f ca="1">IFERROR((INDIRECT(ADDRESS(99,9)) - INDIRECT(ADDRESS(99,3)))/ INDIRECT(ADDRESS(99,3)),1)</f>
        <v>-9.7598299464788998E-2</v>
      </c>
      <c r="AQ99" s="3">
        <f ca="1">INDIRECT(ADDRESS(99,14))</f>
        <v>5113836.7466000002</v>
      </c>
      <c r="AR99" s="4">
        <f ca="1">IFERROR(INDIRECT(ADDRESS(99,14)) / INDIRECT(ADDRESS(110,14)),0)</f>
        <v>9.4887813796206491E-2</v>
      </c>
      <c r="AS99" s="4">
        <f ca="1">IFERROR((INDIRECT(ADDRESS(99,14)) - INDIRECT(ADDRESS(99,3)))/ INDIRECT(ADDRESS(99,3)),1)</f>
        <v>-0.25724037061882149</v>
      </c>
      <c r="AT99" s="3">
        <f ca="1">INDIRECT(ADDRESS(99,19))</f>
        <v>4596061.8108000001</v>
      </c>
      <c r="AU99" s="4">
        <f ca="1">IFERROR(INDIRECT(ADDRESS(99,19)) / INDIRECT(ADDRESS(110,19)),0)</f>
        <v>0.10258742530448905</v>
      </c>
      <c r="AV99" s="4">
        <f ca="1">IFERROR((INDIRECT(ADDRESS(99,19)) - INDIRECT(ADDRESS(99,3)))/ INDIRECT(ADDRESS(99,3)),1)</f>
        <v>-0.33244463279503705</v>
      </c>
      <c r="AW99" s="3">
        <f ca="1">INDIRECT(ADDRESS(99,24))</f>
        <v>4121942.398</v>
      </c>
      <c r="AX99" s="4">
        <f ca="1">IFERROR(INDIRECT(ADDRESS(99,24)) / INDIRECT(ADDRESS(110,24)),0)</f>
        <v>0.10776192579537662</v>
      </c>
      <c r="AY99" s="4">
        <f ca="1">IFERROR((INDIRECT(ADDRESS(99,24)) - INDIRECT(ADDRESS(99,3)))/ INDIRECT(ADDRESS(99,3)),1)</f>
        <v>-0.40130814502348</v>
      </c>
      <c r="AZ99" s="3">
        <f ca="1">INDIRECT(ADDRESS(99,29))</f>
        <v>3190327.1823</v>
      </c>
      <c r="BA99" s="4">
        <f ca="1">IFERROR(INDIRECT(ADDRESS(99,29)) / INDIRECT(ADDRESS(110,29)),0)</f>
        <v>0.10142006250578108</v>
      </c>
      <c r="BB99" s="4">
        <f ca="1">IFERROR((INDIRECT(ADDRESS(99,29)) - INDIRECT(ADDRESS(99,3)))/ INDIRECT(ADDRESS(99,3)),1)</f>
        <v>-0.53662067192400364</v>
      </c>
      <c r="BC99" s="3">
        <f ca="1">INDIRECT(ADDRESS(99,34))</f>
        <v>2248421.5673000002</v>
      </c>
      <c r="BD99" s="4">
        <f ca="1">IFERROR(INDIRECT(ADDRESS(99,34)) / INDIRECT(ADDRESS(110,34)),0)</f>
        <v>8.3050521278092315E-2</v>
      </c>
      <c r="BE99" s="4">
        <f ca="1">IFERROR((INDIRECT(ADDRESS(99,34)) - INDIRECT(ADDRESS(99,3)))/ INDIRECT(ADDRESS(99,3)),1)</f>
        <v>-0.673427828698141</v>
      </c>
    </row>
    <row r="100" spans="1:57" x14ac:dyDescent="0.25">
      <c r="A100" s="5"/>
      <c r="B100" s="1" t="s">
        <v>25</v>
      </c>
      <c r="C100">
        <v>221100.7</v>
      </c>
      <c r="D100">
        <v>220935.7</v>
      </c>
      <c r="E100">
        <v>220534.5</v>
      </c>
      <c r="F100">
        <v>220004.6</v>
      </c>
      <c r="G100">
        <v>219253.2</v>
      </c>
      <c r="H100">
        <v>217058.8</v>
      </c>
      <c r="I100">
        <v>215924.1</v>
      </c>
      <c r="J100">
        <v>213883.7</v>
      </c>
      <c r="K100">
        <v>211791.7</v>
      </c>
      <c r="L100">
        <v>209578.8</v>
      </c>
      <c r="M100">
        <v>206295.4</v>
      </c>
      <c r="N100">
        <v>155291</v>
      </c>
      <c r="O100">
        <v>151821.9</v>
      </c>
      <c r="P100">
        <v>148185.4</v>
      </c>
      <c r="Q100">
        <v>144511.20000000001</v>
      </c>
      <c r="R100">
        <v>140515.5</v>
      </c>
      <c r="S100">
        <v>138375.4</v>
      </c>
      <c r="T100">
        <v>136144.5</v>
      </c>
      <c r="U100">
        <v>134210</v>
      </c>
      <c r="V100">
        <v>132531.29999999999</v>
      </c>
      <c r="W100">
        <v>130636.6</v>
      </c>
      <c r="X100">
        <v>129800.7</v>
      </c>
      <c r="Y100">
        <v>128644.2</v>
      </c>
      <c r="Z100">
        <v>127618.2</v>
      </c>
      <c r="AA100">
        <v>126716.9</v>
      </c>
      <c r="AB100">
        <v>125484.8</v>
      </c>
      <c r="AC100">
        <v>113202.6</v>
      </c>
      <c r="AD100">
        <v>112612.1</v>
      </c>
      <c r="AE100">
        <v>112092</v>
      </c>
      <c r="AF100">
        <v>111614.3</v>
      </c>
      <c r="AG100">
        <v>110694.5</v>
      </c>
      <c r="AH100">
        <v>110713.5</v>
      </c>
      <c r="AK100" s="3" t="str">
        <f ca="1">INDIRECT(ADDRESS(100,2))</f>
        <v>Fugitive</v>
      </c>
      <c r="AL100" s="3">
        <f ca="1">INDIRECT(ADDRESS(100,3))</f>
        <v>221100.7</v>
      </c>
      <c r="AM100" s="4">
        <f ca="1">IFERROR(INDIRECT(ADDRESS(100,3)) / INDIRECT(ADDRESS(110,3)),0)</f>
        <v>2.0835088906242141E-3</v>
      </c>
      <c r="AN100" s="3">
        <f ca="1">INDIRECT(ADDRESS(100,9))</f>
        <v>215924.1</v>
      </c>
      <c r="AO100" s="4">
        <f ca="1">IFERROR(INDIRECT(ADDRESS(100,9)) / INDIRECT(ADDRESS(110,9)),0)</f>
        <v>2.8200970179886472E-3</v>
      </c>
      <c r="AP100" s="4">
        <f ca="1">IFERROR((INDIRECT(ADDRESS(100,9)) - INDIRECT(ADDRESS(100,3)))/ INDIRECT(ADDRESS(100,3)),1)</f>
        <v>-2.3412861198539876E-2</v>
      </c>
      <c r="AQ100" s="3">
        <f ca="1">INDIRECT(ADDRESS(100,14))</f>
        <v>155291</v>
      </c>
      <c r="AR100" s="4">
        <f ca="1">IFERROR(INDIRECT(ADDRESS(100,14)) / INDIRECT(ADDRESS(110,14)),0)</f>
        <v>2.8814419040700907E-3</v>
      </c>
      <c r="AS100" s="4">
        <f ca="1">IFERROR((INDIRECT(ADDRESS(100,14)) - INDIRECT(ADDRESS(100,3)))/ INDIRECT(ADDRESS(100,3)),1)</f>
        <v>-0.29764582382597615</v>
      </c>
      <c r="AT100" s="3">
        <f ca="1">INDIRECT(ADDRESS(100,19))</f>
        <v>138375.4</v>
      </c>
      <c r="AU100" s="4">
        <f ca="1">IFERROR(INDIRECT(ADDRESS(100,19)) / INDIRECT(ADDRESS(110,19)),0)</f>
        <v>3.0886390557501842E-3</v>
      </c>
      <c r="AV100" s="4">
        <f ca="1">IFERROR((INDIRECT(ADDRESS(100,19)) - INDIRECT(ADDRESS(100,3)))/ INDIRECT(ADDRESS(100,3)),1)</f>
        <v>-0.37415213972637812</v>
      </c>
      <c r="AW100" s="3">
        <f ca="1">INDIRECT(ADDRESS(100,24))</f>
        <v>129800.7</v>
      </c>
      <c r="AX100" s="4">
        <f ca="1">IFERROR(INDIRECT(ADDRESS(100,24)) / INDIRECT(ADDRESS(110,24)),0)</f>
        <v>3.3934422296572667E-3</v>
      </c>
      <c r="AY100" s="4">
        <f ca="1">IFERROR((INDIRECT(ADDRESS(100,24)) - INDIRECT(ADDRESS(100,3)))/ INDIRECT(ADDRESS(100,3)),1)</f>
        <v>-0.41293401603884572</v>
      </c>
      <c r="AZ100" s="3">
        <f ca="1">INDIRECT(ADDRESS(100,29))</f>
        <v>113202.6</v>
      </c>
      <c r="BA100" s="4">
        <f ca="1">IFERROR(INDIRECT(ADDRESS(100,29)) / INDIRECT(ADDRESS(110,29)),0)</f>
        <v>3.598695090432679E-3</v>
      </c>
      <c r="BB100" s="4">
        <f ca="1">IFERROR((INDIRECT(ADDRESS(100,29)) - INDIRECT(ADDRESS(100,3)))/ INDIRECT(ADDRESS(100,3)),1)</f>
        <v>-0.48800433467646193</v>
      </c>
      <c r="BC100" s="3">
        <f ca="1">INDIRECT(ADDRESS(100,34))</f>
        <v>110713.5</v>
      </c>
      <c r="BD100" s="4">
        <f ca="1">IFERROR(INDIRECT(ADDRESS(100,34)) / INDIRECT(ADDRESS(110,34)),0)</f>
        <v>4.0894528060249815E-3</v>
      </c>
      <c r="BE100" s="4">
        <f ca="1">IFERROR((INDIRECT(ADDRESS(100,34)) - INDIRECT(ADDRESS(100,3)))/ INDIRECT(ADDRESS(100,3)),1)</f>
        <v>-0.49926210093409928</v>
      </c>
    </row>
    <row r="101" spans="1:57" x14ac:dyDescent="0.25">
      <c r="A101" s="5"/>
      <c r="B101" s="1" t="s">
        <v>43</v>
      </c>
      <c r="C101">
        <v>24286310</v>
      </c>
      <c r="D101">
        <v>24217940</v>
      </c>
      <c r="E101">
        <v>23820910</v>
      </c>
      <c r="F101">
        <v>23235120</v>
      </c>
      <c r="G101">
        <v>21729260</v>
      </c>
      <c r="H101">
        <v>19983790</v>
      </c>
      <c r="I101">
        <v>17567470</v>
      </c>
      <c r="J101">
        <v>15775030</v>
      </c>
      <c r="K101">
        <v>13935920</v>
      </c>
      <c r="L101">
        <v>12133100</v>
      </c>
      <c r="M101">
        <v>10465390</v>
      </c>
      <c r="N101">
        <v>9040181</v>
      </c>
      <c r="O101">
        <v>8125463</v>
      </c>
      <c r="P101">
        <v>7346100</v>
      </c>
      <c r="Q101">
        <v>6649535</v>
      </c>
      <c r="R101">
        <v>5896491</v>
      </c>
      <c r="S101">
        <v>5277857</v>
      </c>
      <c r="T101">
        <v>4659920</v>
      </c>
      <c r="U101">
        <v>4065903</v>
      </c>
      <c r="V101">
        <v>3517913</v>
      </c>
      <c r="W101">
        <v>3071625</v>
      </c>
      <c r="X101">
        <v>2676575</v>
      </c>
      <c r="Y101">
        <v>2219695</v>
      </c>
      <c r="Z101">
        <v>1823845</v>
      </c>
      <c r="AA101">
        <v>1488496</v>
      </c>
      <c r="AB101">
        <v>1207472</v>
      </c>
      <c r="AC101">
        <v>972001.5</v>
      </c>
      <c r="AD101">
        <v>774026.2</v>
      </c>
      <c r="AE101">
        <v>605762.9</v>
      </c>
      <c r="AF101">
        <v>460320.8</v>
      </c>
      <c r="AG101">
        <v>331800.3</v>
      </c>
      <c r="AH101">
        <v>215622.3</v>
      </c>
      <c r="AK101" s="3" t="str">
        <f ca="1">INDIRECT(ADDRESS(101,2))</f>
        <v>Gasoline</v>
      </c>
      <c r="AL101" s="3">
        <f ca="1">INDIRECT(ADDRESS(101,3))</f>
        <v>24286310</v>
      </c>
      <c r="AM101" s="4">
        <f ca="1">IFERROR(INDIRECT(ADDRESS(101,3)) / INDIRECT(ADDRESS(110,3)),0)</f>
        <v>0.22885835642065247</v>
      </c>
      <c r="AN101" s="3">
        <f ca="1">INDIRECT(ADDRESS(101,9))</f>
        <v>17567470</v>
      </c>
      <c r="AO101" s="4">
        <f ca="1">IFERROR(INDIRECT(ADDRESS(101,9)) / INDIRECT(ADDRESS(110,9)),0)</f>
        <v>0.22944159434081243</v>
      </c>
      <c r="AP101" s="4">
        <f ca="1">IFERROR((INDIRECT(ADDRESS(101,9)) - INDIRECT(ADDRESS(101,3)))/ INDIRECT(ADDRESS(101,3)),1)</f>
        <v>-0.27665133155263194</v>
      </c>
      <c r="AQ101" s="3">
        <f ca="1">INDIRECT(ADDRESS(101,14))</f>
        <v>9040181</v>
      </c>
      <c r="AR101" s="4">
        <f ca="1">IFERROR(INDIRECT(ADDRESS(101,14)) / INDIRECT(ADDRESS(110,14)),0)</f>
        <v>0.16774157133239054</v>
      </c>
      <c r="AS101" s="4">
        <f ca="1">IFERROR((INDIRECT(ADDRESS(101,14)) - INDIRECT(ADDRESS(101,3)))/ INDIRECT(ADDRESS(101,3)),1)</f>
        <v>-0.62776638361282555</v>
      </c>
      <c r="AT101" s="3">
        <f ca="1">INDIRECT(ADDRESS(101,19))</f>
        <v>5277857</v>
      </c>
      <c r="AU101" s="4">
        <f ca="1">IFERROR(INDIRECT(ADDRESS(101,19)) / INDIRECT(ADDRESS(110,19)),0)</f>
        <v>0.11780558727103589</v>
      </c>
      <c r="AV101" s="4">
        <f ca="1">IFERROR((INDIRECT(ADDRESS(101,19)) - INDIRECT(ADDRESS(101,3)))/ INDIRECT(ADDRESS(101,3)),1)</f>
        <v>-0.78268180715802438</v>
      </c>
      <c r="AW101" s="3">
        <f ca="1">INDIRECT(ADDRESS(101,24))</f>
        <v>2676575</v>
      </c>
      <c r="AX101" s="4">
        <f ca="1">IFERROR(INDIRECT(ADDRESS(101,24)) / INDIRECT(ADDRESS(110,24)),0)</f>
        <v>6.9974989625209261E-2</v>
      </c>
      <c r="AY101" s="4">
        <f ca="1">IFERROR((INDIRECT(ADDRESS(101,24)) - INDIRECT(ADDRESS(101,3)))/ INDIRECT(ADDRESS(101,3)),1)</f>
        <v>-0.8897907916023472</v>
      </c>
      <c r="AZ101" s="3">
        <f ca="1">INDIRECT(ADDRESS(101,29))</f>
        <v>972001.5</v>
      </c>
      <c r="BA101" s="4">
        <f ca="1">IFERROR(INDIRECT(ADDRESS(101,29)) / INDIRECT(ADDRESS(110,29)),0)</f>
        <v>3.0899794050164922E-2</v>
      </c>
      <c r="BB101" s="4">
        <f ca="1">IFERROR((INDIRECT(ADDRESS(101,29)) - INDIRECT(ADDRESS(101,3)))/ INDIRECT(ADDRESS(101,3)),1)</f>
        <v>-0.95997739055459641</v>
      </c>
      <c r="BC101" s="3">
        <f ca="1">INDIRECT(ADDRESS(101,34))</f>
        <v>215622.3</v>
      </c>
      <c r="BD101" s="4">
        <f ca="1">IFERROR(INDIRECT(ADDRESS(101,34)) / INDIRECT(ADDRESS(110,34)),0)</f>
        <v>7.9644959266626045E-3</v>
      </c>
      <c r="BE101" s="4">
        <f ca="1">IFERROR((INDIRECT(ADDRESS(101,34)) - INDIRECT(ADDRESS(101,3)))/ INDIRECT(ADDRESS(101,3)),1)</f>
        <v>-0.99112165248652428</v>
      </c>
    </row>
    <row r="102" spans="1:57" x14ac:dyDescent="0.25">
      <c r="A102" s="5"/>
      <c r="B102" s="1" t="s">
        <v>44</v>
      </c>
      <c r="C102">
        <v>9786438.5133999996</v>
      </c>
      <c r="D102">
        <v>9745998.2129999995</v>
      </c>
      <c r="E102">
        <v>9831359.2420000006</v>
      </c>
      <c r="F102">
        <v>9917963.0109999999</v>
      </c>
      <c r="G102">
        <v>9623652.1769999992</v>
      </c>
      <c r="H102">
        <v>9241995.0749999993</v>
      </c>
      <c r="I102">
        <v>2696354.071</v>
      </c>
      <c r="J102">
        <v>2459237.6060000001</v>
      </c>
      <c r="K102">
        <v>2240342.7880000002</v>
      </c>
      <c r="L102">
        <v>2025620.1040000001</v>
      </c>
      <c r="M102">
        <v>1799458.7439999999</v>
      </c>
      <c r="N102">
        <v>1618323.878</v>
      </c>
      <c r="O102">
        <v>1597076.983</v>
      </c>
      <c r="P102">
        <v>1569878.148</v>
      </c>
      <c r="Q102">
        <v>1538138.2290000001</v>
      </c>
      <c r="R102">
        <v>1502620.216</v>
      </c>
      <c r="S102">
        <v>1466847.71</v>
      </c>
      <c r="T102">
        <v>1422951.6</v>
      </c>
      <c r="U102">
        <v>1373813.43</v>
      </c>
      <c r="V102">
        <v>1317543.57</v>
      </c>
      <c r="W102">
        <v>1252034.703</v>
      </c>
      <c r="X102">
        <v>1183763.5220000001</v>
      </c>
      <c r="Y102">
        <v>1107503.398</v>
      </c>
      <c r="Z102">
        <v>1025618.204</v>
      </c>
      <c r="AA102">
        <v>938983.75599999994</v>
      </c>
      <c r="AB102">
        <v>848443.85199999996</v>
      </c>
      <c r="AC102">
        <v>754749.64599999995</v>
      </c>
      <c r="AD102">
        <v>754749.75800000003</v>
      </c>
      <c r="AE102">
        <v>754749.75300000003</v>
      </c>
      <c r="AF102">
        <v>754749.848</v>
      </c>
      <c r="AG102">
        <v>754749.755</v>
      </c>
      <c r="AH102">
        <v>754749.65899999999</v>
      </c>
      <c r="AK102" s="3" t="str">
        <f ca="1">INDIRECT(ADDRESS(102,2))</f>
        <v>Grid Electricity</v>
      </c>
      <c r="AL102" s="3">
        <f ca="1">INDIRECT(ADDRESS(102,3))</f>
        <v>9786438.5133999996</v>
      </c>
      <c r="AM102" s="4">
        <f ca="1">IFERROR(INDIRECT(ADDRESS(102,3)) / INDIRECT(ADDRESS(110,3)),0)</f>
        <v>9.2221018071024272E-2</v>
      </c>
      <c r="AN102" s="3">
        <f ca="1">INDIRECT(ADDRESS(102,9))</f>
        <v>2696354.071</v>
      </c>
      <c r="AO102" s="4">
        <f ca="1">IFERROR(INDIRECT(ADDRESS(102,9)) / INDIRECT(ADDRESS(110,9)),0)</f>
        <v>3.5215985964830457E-2</v>
      </c>
      <c r="AP102" s="4">
        <f ca="1">IFERROR((INDIRECT(ADDRESS(102,9)) - INDIRECT(ADDRESS(102,3)))/ INDIRECT(ADDRESS(102,3)),1)</f>
        <v>-0.72448055875403095</v>
      </c>
      <c r="AQ102" s="3">
        <f ca="1">INDIRECT(ADDRESS(102,14))</f>
        <v>1618323.878</v>
      </c>
      <c r="AR102" s="4">
        <f ca="1">IFERROR(INDIRECT(ADDRESS(102,14)) / INDIRECT(ADDRESS(110,14)),0)</f>
        <v>3.0028180876074038E-2</v>
      </c>
      <c r="AS102" s="4">
        <f ca="1">IFERROR((INDIRECT(ADDRESS(102,14)) - INDIRECT(ADDRESS(102,3)))/ INDIRECT(ADDRESS(102,3)),1)</f>
        <v>-0.83463607564854936</v>
      </c>
      <c r="AT102" s="3">
        <f ca="1">INDIRECT(ADDRESS(102,19))</f>
        <v>1466847.71</v>
      </c>
      <c r="AU102" s="4">
        <f ca="1">IFERROR(INDIRECT(ADDRESS(102,19)) / INDIRECT(ADDRESS(110,19)),0)</f>
        <v>3.2741102290896502E-2</v>
      </c>
      <c r="AV102" s="4">
        <f ca="1">IFERROR((INDIRECT(ADDRESS(102,19)) - INDIRECT(ADDRESS(102,3)))/ INDIRECT(ADDRESS(102,3)),1)</f>
        <v>-0.85011424656768331</v>
      </c>
      <c r="AW102" s="3">
        <f ca="1">INDIRECT(ADDRESS(102,24))</f>
        <v>1183763.5220000001</v>
      </c>
      <c r="AX102" s="4">
        <f ca="1">IFERROR(INDIRECT(ADDRESS(102,24)) / INDIRECT(ADDRESS(110,24)),0)</f>
        <v>3.094770001612179E-2</v>
      </c>
      <c r="AY102" s="4">
        <f ca="1">IFERROR((INDIRECT(ADDRESS(102,24)) - INDIRECT(ADDRESS(102,3)))/ INDIRECT(ADDRESS(102,3)),1)</f>
        <v>-0.8790404169628061</v>
      </c>
      <c r="AZ102" s="3">
        <f ca="1">INDIRECT(ADDRESS(102,29))</f>
        <v>754749.64599999995</v>
      </c>
      <c r="BA102" s="4">
        <f ca="1">IFERROR(INDIRECT(ADDRESS(102,29)) / INDIRECT(ADDRESS(110,29)),0)</f>
        <v>2.3993387480199236E-2</v>
      </c>
      <c r="BB102" s="4">
        <f ca="1">IFERROR((INDIRECT(ADDRESS(102,29)) - INDIRECT(ADDRESS(102,3)))/ INDIRECT(ADDRESS(102,3)),1)</f>
        <v>-0.92287800664495412</v>
      </c>
      <c r="BC102" s="3">
        <f ca="1">INDIRECT(ADDRESS(102,34))</f>
        <v>754749.65899999999</v>
      </c>
      <c r="BD102" s="4">
        <f ca="1">IFERROR(INDIRECT(ADDRESS(102,34)) / INDIRECT(ADDRESS(110,34)),0)</f>
        <v>2.7878380783228313E-2</v>
      </c>
      <c r="BE102" s="4">
        <f ca="1">IFERROR((INDIRECT(ADDRESS(102,34)) - INDIRECT(ADDRESS(102,3)))/ INDIRECT(ADDRESS(102,3)),1)</f>
        <v>-0.92287800531658526</v>
      </c>
    </row>
    <row r="103" spans="1:57" x14ac:dyDescent="0.25">
      <c r="A103" s="5"/>
      <c r="B103" s="1" t="s">
        <v>45</v>
      </c>
      <c r="C103">
        <v>7872484</v>
      </c>
      <c r="D103">
        <v>7872484</v>
      </c>
      <c r="E103">
        <v>7785012</v>
      </c>
      <c r="F103">
        <v>7697540</v>
      </c>
      <c r="G103">
        <v>7610068</v>
      </c>
      <c r="H103">
        <v>7522596</v>
      </c>
      <c r="I103">
        <v>7435124</v>
      </c>
      <c r="J103">
        <v>7347652</v>
      </c>
      <c r="K103">
        <v>7260180</v>
      </c>
      <c r="L103">
        <v>7172708</v>
      </c>
      <c r="M103">
        <v>7085236</v>
      </c>
      <c r="N103">
        <v>6997764</v>
      </c>
      <c r="O103">
        <v>6910292</v>
      </c>
      <c r="P103">
        <v>6822820</v>
      </c>
      <c r="Q103">
        <v>6735348</v>
      </c>
      <c r="R103">
        <v>6647876</v>
      </c>
      <c r="S103">
        <v>6560404</v>
      </c>
      <c r="T103">
        <v>6472932</v>
      </c>
      <c r="U103">
        <v>6385459</v>
      </c>
      <c r="V103">
        <v>6297988</v>
      </c>
      <c r="W103">
        <v>6297988</v>
      </c>
      <c r="X103">
        <v>6297988</v>
      </c>
      <c r="Y103">
        <v>6297988</v>
      </c>
      <c r="Z103">
        <v>6297988</v>
      </c>
      <c r="AA103">
        <v>6297988</v>
      </c>
      <c r="AB103">
        <v>6297988</v>
      </c>
      <c r="AC103">
        <v>6297988</v>
      </c>
      <c r="AD103">
        <v>6297988</v>
      </c>
      <c r="AE103">
        <v>6297988</v>
      </c>
      <c r="AF103">
        <v>6297988</v>
      </c>
      <c r="AG103">
        <v>6297988</v>
      </c>
      <c r="AH103">
        <v>6297988</v>
      </c>
      <c r="AK103" s="3" t="str">
        <f ca="1">INDIRECT(ADDRESS(103,2))</f>
        <v>Jet Fuel</v>
      </c>
      <c r="AL103" s="3">
        <f ca="1">INDIRECT(ADDRESS(103,3))</f>
        <v>7872484</v>
      </c>
      <c r="AM103" s="4">
        <f ca="1">IFERROR(INDIRECT(ADDRESS(103,3)) / INDIRECT(ADDRESS(110,3)),0)</f>
        <v>7.4185158189444336E-2</v>
      </c>
      <c r="AN103" s="3">
        <f ca="1">INDIRECT(ADDRESS(103,9))</f>
        <v>7435124</v>
      </c>
      <c r="AO103" s="4">
        <f ca="1">IFERROR(INDIRECT(ADDRESS(103,9)) / INDIRECT(ADDRESS(110,9)),0)</f>
        <v>9.710713635381979E-2</v>
      </c>
      <c r="AP103" s="4">
        <f ca="1">IFERROR((INDIRECT(ADDRESS(103,9)) - INDIRECT(ADDRESS(103,3)))/ INDIRECT(ADDRESS(103,3)),1)</f>
        <v>-5.5555527327842143E-2</v>
      </c>
      <c r="AQ103" s="3">
        <f ca="1">INDIRECT(ADDRESS(103,14))</f>
        <v>6997764</v>
      </c>
      <c r="AR103" s="4">
        <f ca="1">IFERROR(INDIRECT(ADDRESS(103,14)) / INDIRECT(ADDRESS(110,14)),0)</f>
        <v>0.12984429506148543</v>
      </c>
      <c r="AS103" s="4">
        <f ca="1">IFERROR((INDIRECT(ADDRESS(103,14)) - INDIRECT(ADDRESS(103,3)))/ INDIRECT(ADDRESS(103,3)),1)</f>
        <v>-0.11111105465568429</v>
      </c>
      <c r="AT103" s="3">
        <f ca="1">INDIRECT(ADDRESS(103,19))</f>
        <v>6560404</v>
      </c>
      <c r="AU103" s="4">
        <f ca="1">IFERROR(INDIRECT(ADDRESS(103,19)) / INDIRECT(ADDRESS(110,19)),0)</f>
        <v>0.14643296435565664</v>
      </c>
      <c r="AV103" s="4">
        <f ca="1">IFERROR((INDIRECT(ADDRESS(103,19)) - INDIRECT(ADDRESS(103,3)))/ INDIRECT(ADDRESS(103,3)),1)</f>
        <v>-0.16666658198352641</v>
      </c>
      <c r="AW103" s="3">
        <f ca="1">INDIRECT(ADDRESS(103,24))</f>
        <v>6297988</v>
      </c>
      <c r="AX103" s="4">
        <f ca="1">IFERROR(INDIRECT(ADDRESS(103,24)) / INDIRECT(ADDRESS(110,24)),0)</f>
        <v>0.16465133424607659</v>
      </c>
      <c r="AY103" s="4">
        <f ca="1">IFERROR((INDIRECT(ADDRESS(103,24)) - INDIRECT(ADDRESS(103,3)))/ INDIRECT(ADDRESS(103,3)),1)</f>
        <v>-0.19999989838023172</v>
      </c>
      <c r="AZ103" s="3">
        <f ca="1">INDIRECT(ADDRESS(103,29))</f>
        <v>6297988</v>
      </c>
      <c r="BA103" s="4">
        <f ca="1">IFERROR(INDIRECT(ADDRESS(103,29)) / INDIRECT(ADDRESS(110,29)),0)</f>
        <v>0.20021217264624599</v>
      </c>
      <c r="BB103" s="4">
        <f ca="1">IFERROR((INDIRECT(ADDRESS(103,29)) - INDIRECT(ADDRESS(103,3)))/ INDIRECT(ADDRESS(103,3)),1)</f>
        <v>-0.19999989838023172</v>
      </c>
      <c r="BC103" s="3">
        <f ca="1">INDIRECT(ADDRESS(103,34))</f>
        <v>6297988</v>
      </c>
      <c r="BD103" s="4">
        <f ca="1">IFERROR(INDIRECT(ADDRESS(103,34)) / INDIRECT(ADDRESS(110,34)),0)</f>
        <v>0.23263039014132569</v>
      </c>
      <c r="BE103" s="4">
        <f ca="1">IFERROR((INDIRECT(ADDRESS(103,34)) - INDIRECT(ADDRESS(103,3)))/ INDIRECT(ADDRESS(103,3)),1)</f>
        <v>-0.19999989838023172</v>
      </c>
    </row>
    <row r="104" spans="1:57" x14ac:dyDescent="0.25">
      <c r="A104" s="5"/>
      <c r="B104" s="1" t="s">
        <v>46</v>
      </c>
      <c r="C104">
        <v>21637454.120000001</v>
      </c>
      <c r="D104">
        <v>21621214.120000001</v>
      </c>
      <c r="E104">
        <v>21581604.989999998</v>
      </c>
      <c r="F104">
        <v>21529340.870000001</v>
      </c>
      <c r="G104">
        <v>20619140.91</v>
      </c>
      <c r="H104">
        <v>19585297.234000001</v>
      </c>
      <c r="I104">
        <v>18660606.857000001</v>
      </c>
      <c r="J104">
        <v>17671694.776999999</v>
      </c>
      <c r="K104">
        <v>16695922.991</v>
      </c>
      <c r="L104">
        <v>15728859.499</v>
      </c>
      <c r="M104">
        <v>14706365.304</v>
      </c>
      <c r="N104">
        <v>10611789.403999999</v>
      </c>
      <c r="O104">
        <v>10126288.093</v>
      </c>
      <c r="P104">
        <v>9644296.6260000002</v>
      </c>
      <c r="Q104">
        <v>9174473.0040000007</v>
      </c>
      <c r="R104">
        <v>8700827.227</v>
      </c>
      <c r="S104">
        <v>8345247.2939999998</v>
      </c>
      <c r="T104">
        <v>7993803.2070000004</v>
      </c>
      <c r="U104">
        <v>7666424.9639999997</v>
      </c>
      <c r="V104">
        <v>7359359.1660000002</v>
      </c>
      <c r="W104">
        <v>7048867.852</v>
      </c>
      <c r="X104">
        <v>6793873.5369999995</v>
      </c>
      <c r="Y104">
        <v>6334575.8490000004</v>
      </c>
      <c r="Z104">
        <v>5888975.2609999999</v>
      </c>
      <c r="AA104">
        <v>5455405.3739999998</v>
      </c>
      <c r="AB104">
        <v>5018659.3859999999</v>
      </c>
      <c r="AC104">
        <v>4297618.398</v>
      </c>
      <c r="AD104">
        <v>3934812.01</v>
      </c>
      <c r="AE104">
        <v>3577811.622</v>
      </c>
      <c r="AF104">
        <v>3225393.8339999998</v>
      </c>
      <c r="AG104">
        <v>2871458.1460000002</v>
      </c>
      <c r="AH104">
        <v>2531835.8986</v>
      </c>
      <c r="AK104" s="3" t="str">
        <f ca="1">INDIRECT(ADDRESS(104,2))</f>
        <v>Natural Gas</v>
      </c>
      <c r="AL104" s="3">
        <f ca="1">INDIRECT(ADDRESS(104,3))</f>
        <v>21637454.120000001</v>
      </c>
      <c r="AM104" s="4">
        <f ca="1">IFERROR(INDIRECT(ADDRESS(104,3)) / INDIRECT(ADDRESS(110,3)),0)</f>
        <v>0.20389726504481229</v>
      </c>
      <c r="AN104" s="3">
        <f ca="1">INDIRECT(ADDRESS(104,9))</f>
        <v>18660606.857000001</v>
      </c>
      <c r="AO104" s="4">
        <f ca="1">IFERROR(INDIRECT(ADDRESS(104,9)) / INDIRECT(ADDRESS(110,9)),0)</f>
        <v>0.24371861108271009</v>
      </c>
      <c r="AP104" s="4">
        <f ca="1">IFERROR((INDIRECT(ADDRESS(104,9)) - INDIRECT(ADDRESS(104,3)))/ INDIRECT(ADDRESS(104,3)),1)</f>
        <v>-0.13757844367875199</v>
      </c>
      <c r="AQ104" s="3">
        <f ca="1">INDIRECT(ADDRESS(104,14))</f>
        <v>10611789.403999999</v>
      </c>
      <c r="AR104" s="4">
        <f ca="1">IFERROR(INDIRECT(ADDRESS(104,14)) / INDIRECT(ADDRESS(110,14)),0)</f>
        <v>0.19690294135431269</v>
      </c>
      <c r="AS104" s="4">
        <f ca="1">IFERROR((INDIRECT(ADDRESS(104,14)) - INDIRECT(ADDRESS(104,3)))/ INDIRECT(ADDRESS(104,3)),1)</f>
        <v>-0.50956386342183968</v>
      </c>
      <c r="AT104" s="3">
        <f ca="1">INDIRECT(ADDRESS(104,19))</f>
        <v>8345247.2939999998</v>
      </c>
      <c r="AU104" s="4">
        <f ca="1">IFERROR(INDIRECT(ADDRESS(104,19)) / INDIRECT(ADDRESS(110,19)),0)</f>
        <v>0.18627195818145378</v>
      </c>
      <c r="AV104" s="4">
        <f ca="1">IFERROR((INDIRECT(ADDRESS(104,19)) - INDIRECT(ADDRESS(104,3)))/ INDIRECT(ADDRESS(104,3)),1)</f>
        <v>-0.61431473186643093</v>
      </c>
      <c r="AW104" s="3">
        <f ca="1">INDIRECT(ADDRESS(104,24))</f>
        <v>6793873.5369999995</v>
      </c>
      <c r="AX104" s="4">
        <f ca="1">IFERROR(INDIRECT(ADDRESS(104,24)) / INDIRECT(ADDRESS(110,24)),0)</f>
        <v>0.17761550872535187</v>
      </c>
      <c r="AY104" s="4">
        <f ca="1">IFERROR((INDIRECT(ADDRESS(104,24)) - INDIRECT(ADDRESS(104,3)))/ INDIRECT(ADDRESS(104,3)),1)</f>
        <v>-0.68601326665689999</v>
      </c>
      <c r="AZ104" s="3">
        <f ca="1">INDIRECT(ADDRESS(104,29))</f>
        <v>4297618.398</v>
      </c>
      <c r="BA104" s="4">
        <f ca="1">IFERROR(INDIRECT(ADDRESS(104,29)) / INDIRECT(ADDRESS(110,29)),0)</f>
        <v>0.13662069801785254</v>
      </c>
      <c r="BB104" s="4">
        <f ca="1">IFERROR((INDIRECT(ADDRESS(104,29)) - INDIRECT(ADDRESS(104,3)))/ INDIRECT(ADDRESS(104,3)),1)</f>
        <v>-0.80138058876216822</v>
      </c>
      <c r="BC104" s="3">
        <f ca="1">INDIRECT(ADDRESS(104,34))</f>
        <v>2531835.8986</v>
      </c>
      <c r="BD104" s="4">
        <f ca="1">IFERROR(INDIRECT(ADDRESS(104,34)) / INDIRECT(ADDRESS(110,34)),0)</f>
        <v>9.3519068766903315E-2</v>
      </c>
      <c r="BE104" s="4">
        <f ca="1">IFERROR((INDIRECT(ADDRESS(104,34)) - INDIRECT(ADDRESS(104,3)))/ INDIRECT(ADDRESS(104,3)),1)</f>
        <v>-0.88298827188454831</v>
      </c>
    </row>
    <row r="105" spans="1:57" x14ac:dyDescent="0.25">
      <c r="A105" s="5"/>
      <c r="B105" s="1" t="s">
        <v>47</v>
      </c>
      <c r="C105">
        <v>5790901</v>
      </c>
      <c r="D105">
        <v>5790901</v>
      </c>
      <c r="E105">
        <v>5790901</v>
      </c>
      <c r="F105">
        <v>5790901</v>
      </c>
      <c r="G105">
        <v>5790901</v>
      </c>
      <c r="H105">
        <v>5790901</v>
      </c>
      <c r="I105">
        <v>5790901</v>
      </c>
      <c r="J105">
        <v>5790901</v>
      </c>
      <c r="K105">
        <v>5790901</v>
      </c>
      <c r="L105">
        <v>5790901</v>
      </c>
      <c r="M105">
        <v>5790901</v>
      </c>
      <c r="N105">
        <v>5790901</v>
      </c>
      <c r="O105">
        <v>5790901</v>
      </c>
      <c r="P105">
        <v>5790901</v>
      </c>
      <c r="Q105">
        <v>5790901</v>
      </c>
      <c r="R105">
        <v>5790901</v>
      </c>
      <c r="S105">
        <v>5790901</v>
      </c>
      <c r="T105">
        <v>5790901</v>
      </c>
      <c r="U105">
        <v>5790901</v>
      </c>
      <c r="V105">
        <v>5790901</v>
      </c>
      <c r="W105">
        <v>5790901</v>
      </c>
      <c r="X105">
        <v>5790901</v>
      </c>
      <c r="Y105">
        <v>5790901</v>
      </c>
      <c r="Z105">
        <v>5790901</v>
      </c>
      <c r="AA105">
        <v>5790901</v>
      </c>
      <c r="AB105">
        <v>5790901</v>
      </c>
      <c r="AC105">
        <v>5790901</v>
      </c>
      <c r="AD105">
        <v>5790901</v>
      </c>
      <c r="AE105">
        <v>5790901</v>
      </c>
      <c r="AF105">
        <v>5790901</v>
      </c>
      <c r="AG105">
        <v>5790901</v>
      </c>
      <c r="AH105">
        <v>5790901</v>
      </c>
      <c r="AK105" s="3" t="str">
        <f ca="1">INDIRECT(ADDRESS(105,2))</f>
        <v>Non Energy</v>
      </c>
      <c r="AL105" s="3">
        <f ca="1">INDIRECT(ADDRESS(105,3))</f>
        <v>5790901</v>
      </c>
      <c r="AM105" s="4">
        <f ca="1">IFERROR(INDIRECT(ADDRESS(105,3)) / INDIRECT(ADDRESS(110,3)),0)</f>
        <v>5.4569676704888999E-2</v>
      </c>
      <c r="AN105" s="3">
        <f ca="1">INDIRECT(ADDRESS(105,9))</f>
        <v>5790901</v>
      </c>
      <c r="AO105" s="4">
        <f ca="1">IFERROR(INDIRECT(ADDRESS(105,9)) / INDIRECT(ADDRESS(110,9)),0)</f>
        <v>7.5632607205807376E-2</v>
      </c>
      <c r="AP105" s="4">
        <f ca="1">IFERROR((INDIRECT(ADDRESS(105,9)) - INDIRECT(ADDRESS(105,3)))/ INDIRECT(ADDRESS(105,3)),1)</f>
        <v>0</v>
      </c>
      <c r="AQ105" s="3">
        <f ca="1">INDIRECT(ADDRESS(105,14))</f>
        <v>5790901</v>
      </c>
      <c r="AR105" s="4">
        <f ca="1">IFERROR(INDIRECT(ADDRESS(105,14)) / INDIRECT(ADDRESS(110,14)),0)</f>
        <v>0.10745081687748416</v>
      </c>
      <c r="AS105" s="4">
        <f ca="1">IFERROR((INDIRECT(ADDRESS(105,14)) - INDIRECT(ADDRESS(105,3)))/ INDIRECT(ADDRESS(105,3)),1)</f>
        <v>0</v>
      </c>
      <c r="AT105" s="3">
        <f ca="1">INDIRECT(ADDRESS(105,19))</f>
        <v>5790901</v>
      </c>
      <c r="AU105" s="4">
        <f ca="1">IFERROR(INDIRECT(ADDRESS(105,19)) / INDIRECT(ADDRESS(110,19)),0)</f>
        <v>0.12925710058711878</v>
      </c>
      <c r="AV105" s="4">
        <f ca="1">IFERROR((INDIRECT(ADDRESS(105,19)) - INDIRECT(ADDRESS(105,3)))/ INDIRECT(ADDRESS(105,3)),1)</f>
        <v>0</v>
      </c>
      <c r="AW105" s="3">
        <f ca="1">INDIRECT(ADDRESS(105,24))</f>
        <v>5790901</v>
      </c>
      <c r="AX105" s="4">
        <f ca="1">IFERROR(INDIRECT(ADDRESS(105,24)) / INDIRECT(ADDRESS(110,24)),0)</f>
        <v>0.151394314523454</v>
      </c>
      <c r="AY105" s="4">
        <f ca="1">IFERROR((INDIRECT(ADDRESS(105,24)) - INDIRECT(ADDRESS(105,3)))/ INDIRECT(ADDRESS(105,3)),1)</f>
        <v>0</v>
      </c>
      <c r="AZ105" s="3">
        <f ca="1">INDIRECT(ADDRESS(105,29))</f>
        <v>5790901</v>
      </c>
      <c r="BA105" s="4">
        <f ca="1">IFERROR(INDIRECT(ADDRESS(105,29)) / INDIRECT(ADDRESS(110,29)),0)</f>
        <v>0.18409194663268943</v>
      </c>
      <c r="BB105" s="4">
        <f ca="1">IFERROR((INDIRECT(ADDRESS(105,29)) - INDIRECT(ADDRESS(105,3)))/ INDIRECT(ADDRESS(105,3)),1)</f>
        <v>0</v>
      </c>
      <c r="BC105" s="3">
        <f ca="1">INDIRECT(ADDRESS(105,34))</f>
        <v>5790901</v>
      </c>
      <c r="BD105" s="4">
        <f ca="1">IFERROR(INDIRECT(ADDRESS(105,34)) / INDIRECT(ADDRESS(110,34)),0)</f>
        <v>0.21389998820254866</v>
      </c>
      <c r="BE105" s="4">
        <f ca="1">IFERROR((INDIRECT(ADDRESS(105,34)) - INDIRECT(ADDRESS(105,3)))/ INDIRECT(ADDRESS(105,3)),1)</f>
        <v>0</v>
      </c>
    </row>
    <row r="106" spans="1:57" x14ac:dyDescent="0.25">
      <c r="A106" s="5"/>
      <c r="B106" s="1" t="s">
        <v>48</v>
      </c>
      <c r="C106">
        <v>3801677</v>
      </c>
      <c r="D106">
        <v>3801677</v>
      </c>
      <c r="E106">
        <v>3801677</v>
      </c>
      <c r="F106">
        <v>3801677</v>
      </c>
      <c r="G106">
        <v>3801677</v>
      </c>
      <c r="H106">
        <v>3801677</v>
      </c>
      <c r="I106">
        <v>3801677</v>
      </c>
      <c r="J106">
        <v>3801677</v>
      </c>
      <c r="K106">
        <v>3801677</v>
      </c>
      <c r="L106">
        <v>3801677</v>
      </c>
      <c r="M106">
        <v>3801677</v>
      </c>
      <c r="N106">
        <v>3801677</v>
      </c>
      <c r="O106">
        <v>3801677</v>
      </c>
      <c r="P106">
        <v>3801677</v>
      </c>
      <c r="Q106">
        <v>3801677</v>
      </c>
      <c r="R106">
        <v>3801677</v>
      </c>
      <c r="S106">
        <v>3801677</v>
      </c>
      <c r="T106">
        <v>3801677</v>
      </c>
      <c r="U106">
        <v>3801677</v>
      </c>
      <c r="V106">
        <v>3801677</v>
      </c>
      <c r="W106">
        <v>3801677</v>
      </c>
      <c r="X106">
        <v>3801677</v>
      </c>
      <c r="Y106">
        <v>3801677</v>
      </c>
      <c r="Z106">
        <v>3801677</v>
      </c>
      <c r="AA106">
        <v>3801677</v>
      </c>
      <c r="AB106">
        <v>3801677</v>
      </c>
      <c r="AC106">
        <v>3801677</v>
      </c>
      <c r="AD106">
        <v>3801677</v>
      </c>
      <c r="AE106">
        <v>3801677</v>
      </c>
      <c r="AF106">
        <v>3801677</v>
      </c>
      <c r="AG106">
        <v>3801677</v>
      </c>
      <c r="AH106">
        <v>3801677</v>
      </c>
      <c r="AK106" s="3" t="str">
        <f ca="1">INDIRECT(ADDRESS(106,2))</f>
        <v>Other</v>
      </c>
      <c r="AL106" s="3">
        <f ca="1">INDIRECT(ADDRESS(106,3))</f>
        <v>3801677</v>
      </c>
      <c r="AM106" s="4">
        <f ca="1">IFERROR(INDIRECT(ADDRESS(106,3)) / INDIRECT(ADDRESS(110,3)),0)</f>
        <v>3.5824526239770338E-2</v>
      </c>
      <c r="AN106" s="3">
        <f ca="1">INDIRECT(ADDRESS(106,9))</f>
        <v>3801677</v>
      </c>
      <c r="AO106" s="4">
        <f ca="1">IFERROR(INDIRECT(ADDRESS(106,9)) / INDIRECT(ADDRESS(110,9)),0)</f>
        <v>4.9652160046312691E-2</v>
      </c>
      <c r="AP106" s="4">
        <f ca="1">IFERROR((INDIRECT(ADDRESS(106,9)) - INDIRECT(ADDRESS(106,3)))/ INDIRECT(ADDRESS(106,3)),1)</f>
        <v>0</v>
      </c>
      <c r="AQ106" s="3">
        <f ca="1">INDIRECT(ADDRESS(106,14))</f>
        <v>3801677</v>
      </c>
      <c r="AR106" s="4">
        <f ca="1">IFERROR(INDIRECT(ADDRESS(106,14)) / INDIRECT(ADDRESS(110,14)),0)</f>
        <v>7.0540542681414062E-2</v>
      </c>
      <c r="AS106" s="4">
        <f ca="1">IFERROR((INDIRECT(ADDRESS(106,14)) - INDIRECT(ADDRESS(106,3)))/ INDIRECT(ADDRESS(106,3)),1)</f>
        <v>0</v>
      </c>
      <c r="AT106" s="3">
        <f ca="1">INDIRECT(ADDRESS(106,19))</f>
        <v>3801677</v>
      </c>
      <c r="AU106" s="4">
        <f ca="1">IFERROR(INDIRECT(ADDRESS(106,19)) / INDIRECT(ADDRESS(110,19)),0)</f>
        <v>8.4856181514540829E-2</v>
      </c>
      <c r="AV106" s="4">
        <f ca="1">IFERROR((INDIRECT(ADDRESS(106,19)) - INDIRECT(ADDRESS(106,3)))/ INDIRECT(ADDRESS(106,3)),1)</f>
        <v>0</v>
      </c>
      <c r="AW106" s="3">
        <f ca="1">INDIRECT(ADDRESS(106,24))</f>
        <v>3801677</v>
      </c>
      <c r="AX106" s="4">
        <f ca="1">IFERROR(INDIRECT(ADDRESS(106,24)) / INDIRECT(ADDRESS(110,24)),0)</f>
        <v>9.9389073212369033E-2</v>
      </c>
      <c r="AY106" s="4">
        <f ca="1">IFERROR((INDIRECT(ADDRESS(106,24)) - INDIRECT(ADDRESS(106,3)))/ INDIRECT(ADDRESS(106,3)),1)</f>
        <v>0</v>
      </c>
      <c r="AZ106" s="3">
        <f ca="1">INDIRECT(ADDRESS(106,29))</f>
        <v>3801677</v>
      </c>
      <c r="BA106" s="4">
        <f ca="1">IFERROR(INDIRECT(ADDRESS(106,29)) / INDIRECT(ADDRESS(110,29)),0)</f>
        <v>0.12085478915953199</v>
      </c>
      <c r="BB106" s="4">
        <f ca="1">IFERROR((INDIRECT(ADDRESS(106,29)) - INDIRECT(ADDRESS(106,3)))/ INDIRECT(ADDRESS(106,3)),1)</f>
        <v>0</v>
      </c>
      <c r="BC106" s="3">
        <f ca="1">INDIRECT(ADDRESS(106,34))</f>
        <v>3801677</v>
      </c>
      <c r="BD106" s="4">
        <f ca="1">IFERROR(INDIRECT(ADDRESS(106,34)) / INDIRECT(ADDRESS(110,34)),0)</f>
        <v>0.14042351362074756</v>
      </c>
      <c r="BE106" s="4">
        <f ca="1">IFERROR((INDIRECT(ADDRESS(106,34)) - INDIRECT(ADDRESS(106,3)))/ INDIRECT(ADDRESS(106,3)),1)</f>
        <v>0</v>
      </c>
    </row>
    <row r="107" spans="1:57" x14ac:dyDescent="0.25">
      <c r="A107" s="5"/>
      <c r="B107" s="1" t="s">
        <v>49</v>
      </c>
      <c r="C107">
        <v>729368.12510000006</v>
      </c>
      <c r="D107">
        <v>728736.72509999992</v>
      </c>
      <c r="E107">
        <v>727243.82510000002</v>
      </c>
      <c r="F107">
        <v>724871.52510000009</v>
      </c>
      <c r="G107">
        <v>694258.40379999997</v>
      </c>
      <c r="H107">
        <v>659155.88159999996</v>
      </c>
      <c r="I107">
        <v>626734.06039999996</v>
      </c>
      <c r="J107">
        <v>592089.93819999998</v>
      </c>
      <c r="K107">
        <v>558057.11600000004</v>
      </c>
      <c r="L107">
        <v>524425.89480000001</v>
      </c>
      <c r="M107">
        <v>489439.17259999999</v>
      </c>
      <c r="N107">
        <v>455836.0514</v>
      </c>
      <c r="O107">
        <v>434052.41239999997</v>
      </c>
      <c r="P107">
        <v>412280.5134</v>
      </c>
      <c r="Q107">
        <v>390984.55540000001</v>
      </c>
      <c r="R107">
        <v>370304.48749999999</v>
      </c>
      <c r="S107">
        <v>352905.2585</v>
      </c>
      <c r="T107">
        <v>336687.34950000001</v>
      </c>
      <c r="U107">
        <v>321843.66149999999</v>
      </c>
      <c r="V107">
        <v>308170.95250000001</v>
      </c>
      <c r="W107">
        <v>295138.22460000002</v>
      </c>
      <c r="X107">
        <v>283605.04560000001</v>
      </c>
      <c r="Y107">
        <v>264373.78899999999</v>
      </c>
      <c r="Z107">
        <v>245921.91140000001</v>
      </c>
      <c r="AA107">
        <v>228147.88389999999</v>
      </c>
      <c r="AB107">
        <v>210797.29730000001</v>
      </c>
      <c r="AC107">
        <v>194227.99974999999</v>
      </c>
      <c r="AD107">
        <v>177738.11317999999</v>
      </c>
      <c r="AE107">
        <v>161489.71562</v>
      </c>
      <c r="AF107">
        <v>145402.92835</v>
      </c>
      <c r="AG107">
        <v>129377.80119</v>
      </c>
      <c r="AH107">
        <v>113566.23302</v>
      </c>
      <c r="AK107" s="3" t="str">
        <f ca="1">INDIRECT(ADDRESS(107,2))</f>
        <v>Propane</v>
      </c>
      <c r="AL107" s="3">
        <f ca="1">INDIRECT(ADDRESS(107,3))</f>
        <v>729368.12510000006</v>
      </c>
      <c r="AM107" s="4">
        <f ca="1">IFERROR(INDIRECT(ADDRESS(107,3)) / INDIRECT(ADDRESS(110,3)),0)</f>
        <v>6.8730898327493493E-3</v>
      </c>
      <c r="AN107" s="3">
        <f ca="1">INDIRECT(ADDRESS(107,9))</f>
        <v>626734.06039999996</v>
      </c>
      <c r="AO107" s="4">
        <f ca="1">IFERROR(INDIRECT(ADDRESS(107,9)) / INDIRECT(ADDRESS(110,9)),0)</f>
        <v>8.1855191468018455E-3</v>
      </c>
      <c r="AP107" s="4">
        <f ca="1">IFERROR((INDIRECT(ADDRESS(107,9)) - INDIRECT(ADDRESS(107,3)))/ INDIRECT(ADDRESS(107,3)),1)</f>
        <v>-0.1407164107780669</v>
      </c>
      <c r="AQ107" s="3">
        <f ca="1">INDIRECT(ADDRESS(107,14))</f>
        <v>455836.0514</v>
      </c>
      <c r="AR107" s="4">
        <f ca="1">IFERROR(INDIRECT(ADDRESS(107,14)) / INDIRECT(ADDRESS(110,14)),0)</f>
        <v>8.4580890063803288E-3</v>
      </c>
      <c r="AS107" s="4">
        <f ca="1">IFERROR((INDIRECT(ADDRESS(107,14)) - INDIRECT(ADDRESS(107,3)))/ INDIRECT(ADDRESS(107,3)),1)</f>
        <v>-0.37502608667262149</v>
      </c>
      <c r="AT107" s="3">
        <f ca="1">INDIRECT(ADDRESS(107,19))</f>
        <v>352905.2585</v>
      </c>
      <c r="AU107" s="4">
        <f ca="1">IFERROR(INDIRECT(ADDRESS(107,19)) / INDIRECT(ADDRESS(110,19)),0)</f>
        <v>7.8771007302072087E-3</v>
      </c>
      <c r="AV107" s="4">
        <f ca="1">IFERROR((INDIRECT(ADDRESS(107,19)) - INDIRECT(ADDRESS(107,3)))/ INDIRECT(ADDRESS(107,3)),1)</f>
        <v>-0.51614932658098422</v>
      </c>
      <c r="AW107" s="3">
        <f ca="1">INDIRECT(ADDRESS(107,24))</f>
        <v>283605.04560000001</v>
      </c>
      <c r="AX107" s="4">
        <f ca="1">IFERROR(INDIRECT(ADDRESS(107,24)) / INDIRECT(ADDRESS(110,24)),0)</f>
        <v>7.4144233296347005E-3</v>
      </c>
      <c r="AY107" s="4">
        <f ca="1">IFERROR((INDIRECT(ADDRESS(107,24)) - INDIRECT(ADDRESS(107,3)))/ INDIRECT(ADDRESS(107,3)),1)</f>
        <v>-0.61116336752292766</v>
      </c>
      <c r="AZ107" s="3">
        <f ca="1">INDIRECT(ADDRESS(107,29))</f>
        <v>194227.99974999999</v>
      </c>
      <c r="BA107" s="4">
        <f ca="1">IFERROR(INDIRECT(ADDRESS(107,29)) / INDIRECT(ADDRESS(110,29)),0)</f>
        <v>6.1744814087740432E-3</v>
      </c>
      <c r="BB107" s="4">
        <f ca="1">IFERROR((INDIRECT(ADDRESS(107,29)) - INDIRECT(ADDRESS(107,3)))/ INDIRECT(ADDRESS(107,3)),1)</f>
        <v>-0.7337037456587916</v>
      </c>
      <c r="BC107" s="3">
        <f ca="1">INDIRECT(ADDRESS(107,34))</f>
        <v>113566.23302</v>
      </c>
      <c r="BD107" s="4">
        <f ca="1">IFERROR(INDIRECT(ADDRESS(107,34)) / INDIRECT(ADDRESS(110,34)),0)</f>
        <v>4.1948249336650539E-3</v>
      </c>
      <c r="BE107" s="4">
        <f ca="1">IFERROR((INDIRECT(ADDRESS(107,34)) - INDIRECT(ADDRESS(107,3)))/ INDIRECT(ADDRESS(107,3)),1)</f>
        <v>-0.84429504236364927</v>
      </c>
    </row>
    <row r="108" spans="1:57" x14ac:dyDescent="0.25">
      <c r="A108" s="5"/>
      <c r="B108" s="1" t="s">
        <v>50</v>
      </c>
      <c r="C108">
        <v>147.99354122</v>
      </c>
      <c r="D108">
        <v>147.99354106000001</v>
      </c>
      <c r="E108">
        <v>165.63337096999999</v>
      </c>
      <c r="F108">
        <v>183.27311154</v>
      </c>
      <c r="G108">
        <v>200.91284121999999</v>
      </c>
      <c r="H108">
        <v>218.55267124</v>
      </c>
      <c r="I108">
        <v>236.19250099000001</v>
      </c>
      <c r="J108">
        <v>253.83224114000001</v>
      </c>
      <c r="K108">
        <v>271.47194103999999</v>
      </c>
      <c r="L108">
        <v>289.11184166999999</v>
      </c>
      <c r="M108">
        <v>306.75164160000003</v>
      </c>
      <c r="N108">
        <v>324.39134119999989</v>
      </c>
      <c r="O108">
        <v>342.03114140000002</v>
      </c>
      <c r="P108">
        <v>359.67094100000003</v>
      </c>
      <c r="Q108">
        <v>377.31074169999999</v>
      </c>
      <c r="R108">
        <v>394.95054110000001</v>
      </c>
      <c r="S108">
        <v>412.5902418</v>
      </c>
      <c r="T108">
        <v>430.23004179999998</v>
      </c>
      <c r="U108">
        <v>447.86994099999998</v>
      </c>
      <c r="V108">
        <v>465.50964110000001</v>
      </c>
      <c r="W108">
        <v>465.50964110000001</v>
      </c>
      <c r="X108">
        <v>465.50964169999997</v>
      </c>
      <c r="Y108">
        <v>465.50964169999997</v>
      </c>
      <c r="Z108">
        <v>465.50964149999999</v>
      </c>
      <c r="AA108">
        <v>465.5096418</v>
      </c>
      <c r="AB108">
        <v>465.5096418</v>
      </c>
      <c r="AC108">
        <v>465.50964169999997</v>
      </c>
      <c r="AD108">
        <v>465.50964110000001</v>
      </c>
      <c r="AE108">
        <v>465.5096413</v>
      </c>
      <c r="AF108">
        <v>465.50964190000002</v>
      </c>
      <c r="AG108">
        <v>465.50964140000002</v>
      </c>
      <c r="AH108">
        <v>465.5096413</v>
      </c>
      <c r="AK108" s="3" t="str">
        <f ca="1">INDIRECT(ADDRESS(108,2))</f>
        <v>RNG</v>
      </c>
      <c r="AL108" s="3">
        <f ca="1">INDIRECT(ADDRESS(108,3))</f>
        <v>147.99354122</v>
      </c>
      <c r="AM108" s="4">
        <f ca="1">IFERROR(INDIRECT(ADDRESS(108,3)) / INDIRECT(ADDRESS(110,3)),0)</f>
        <v>1.3945946751269042E-6</v>
      </c>
      <c r="AN108" s="3">
        <f ca="1">INDIRECT(ADDRESS(108,9))</f>
        <v>236.19250099000001</v>
      </c>
      <c r="AO108" s="4">
        <f ca="1">IFERROR(INDIRECT(ADDRESS(108,9)) / INDIRECT(ADDRESS(110,9)),0)</f>
        <v>3.0848143755753969E-6</v>
      </c>
      <c r="AP108" s="4">
        <f ca="1">IFERROR((INDIRECT(ADDRESS(108,9)) - INDIRECT(ADDRESS(108,3)))/ INDIRECT(ADDRESS(108,3)),1)</f>
        <v>0.59596492551582192</v>
      </c>
      <c r="AQ108" s="3">
        <f ca="1">INDIRECT(ADDRESS(108,14))</f>
        <v>324.39134119999989</v>
      </c>
      <c r="AR108" s="4">
        <f ca="1">IFERROR(INDIRECT(ADDRESS(108,14)) / INDIRECT(ADDRESS(110,14)),0)</f>
        <v>6.0191176813284614E-6</v>
      </c>
      <c r="AS108" s="4">
        <f ca="1">IFERROR((INDIRECT(ADDRESS(108,14)) - INDIRECT(ADDRESS(108,3)))/ INDIRECT(ADDRESS(108,3)),1)</f>
        <v>1.191929043158549</v>
      </c>
      <c r="AT108" s="3">
        <f ca="1">INDIRECT(ADDRESS(108,19))</f>
        <v>412.5902418</v>
      </c>
      <c r="AU108" s="4">
        <f ca="1">IFERROR(INDIRECT(ADDRESS(108,19)) / INDIRECT(ADDRESS(110,19)),0)</f>
        <v>9.2093127452198305E-6</v>
      </c>
      <c r="AV108" s="4">
        <f ca="1">IFERROR((INDIRECT(ADDRESS(108,19)) - INDIRECT(ADDRESS(108,3)))/ INDIRECT(ADDRESS(108,3)),1)</f>
        <v>1.7878935688596262</v>
      </c>
      <c r="AW108" s="3">
        <f ca="1">INDIRECT(ADDRESS(108,24))</f>
        <v>465.50964169999997</v>
      </c>
      <c r="AX108" s="4">
        <f ca="1">IFERROR(INDIRECT(ADDRESS(108,24)) / INDIRECT(ADDRESS(110,24)),0)</f>
        <v>1.2170042815311499E-5</v>
      </c>
      <c r="AY108" s="4">
        <f ca="1">IFERROR((INDIRECT(ADDRESS(108,24)) - INDIRECT(ADDRESS(108,3)))/ INDIRECT(ADDRESS(108,3)),1)</f>
        <v>2.1454726865951264</v>
      </c>
      <c r="AZ108" s="3">
        <f ca="1">INDIRECT(ADDRESS(108,29))</f>
        <v>465.50964169999997</v>
      </c>
      <c r="BA108" s="4">
        <f ca="1">IFERROR(INDIRECT(ADDRESS(108,29)) / INDIRECT(ADDRESS(110,29)),0)</f>
        <v>1.4798487509428806E-5</v>
      </c>
      <c r="BB108" s="4">
        <f ca="1">IFERROR((INDIRECT(ADDRESS(108,29)) - INDIRECT(ADDRESS(108,3)))/ INDIRECT(ADDRESS(108,3)),1)</f>
        <v>2.1454726865951264</v>
      </c>
      <c r="BC108" s="3">
        <f ca="1">INDIRECT(ADDRESS(108,34))</f>
        <v>465.5096413</v>
      </c>
      <c r="BD108" s="4">
        <f ca="1">IFERROR(INDIRECT(ADDRESS(108,34)) / INDIRECT(ADDRESS(110,34)),0)</f>
        <v>1.7194648429016947E-5</v>
      </c>
      <c r="BE108" s="4">
        <f ca="1">IFERROR((INDIRECT(ADDRESS(108,34)) - INDIRECT(ADDRESS(108,3)))/ INDIRECT(ADDRESS(108,3)),1)</f>
        <v>2.1454726838923057</v>
      </c>
    </row>
    <row r="109" spans="1:57" x14ac:dyDescent="0.25">
      <c r="A109" s="5"/>
      <c r="B109" s="1" t="s">
        <v>51</v>
      </c>
      <c r="C109">
        <v>384783.25699999998</v>
      </c>
      <c r="D109">
        <v>384263.35700000002</v>
      </c>
      <c r="E109">
        <v>382126.15700000001</v>
      </c>
      <c r="F109">
        <v>379132.75699999998</v>
      </c>
      <c r="G109">
        <v>375428.95699999999</v>
      </c>
      <c r="H109">
        <v>371349.65700000001</v>
      </c>
      <c r="I109">
        <v>366534.65700000001</v>
      </c>
      <c r="J109">
        <v>361594.45700000011</v>
      </c>
      <c r="K109">
        <v>356385.85700000002</v>
      </c>
      <c r="L109">
        <v>350594.95699999999</v>
      </c>
      <c r="M109">
        <v>343869.25699999998</v>
      </c>
      <c r="N109">
        <v>335590.65700000001</v>
      </c>
      <c r="O109">
        <v>326335.35700000002</v>
      </c>
      <c r="P109">
        <v>316313.45699999999</v>
      </c>
      <c r="Q109">
        <v>305950.84700000001</v>
      </c>
      <c r="R109">
        <v>295685.12699999998</v>
      </c>
      <c r="S109">
        <v>286521.19699999999</v>
      </c>
      <c r="T109">
        <v>278664.13699999999</v>
      </c>
      <c r="U109">
        <v>272036.647</v>
      </c>
      <c r="V109">
        <v>266550.06699999998</v>
      </c>
      <c r="W109">
        <v>262030.26699999999</v>
      </c>
      <c r="X109">
        <v>258280.747</v>
      </c>
      <c r="Y109">
        <v>255028.91699999999</v>
      </c>
      <c r="Z109">
        <v>252263.07699999999</v>
      </c>
      <c r="AA109">
        <v>249956.867</v>
      </c>
      <c r="AB109">
        <v>248121.467</v>
      </c>
      <c r="AC109">
        <v>246754.747</v>
      </c>
      <c r="AD109">
        <v>245721.56700000001</v>
      </c>
      <c r="AE109">
        <v>244989.69699999999</v>
      </c>
      <c r="AF109">
        <v>244441.69699999999</v>
      </c>
      <c r="AG109">
        <v>243983.647</v>
      </c>
      <c r="AH109">
        <v>243564.07699999999</v>
      </c>
      <c r="AK109" s="3" t="str">
        <f ca="1">INDIRECT(ADDRESS(109,2))</f>
        <v>Wood</v>
      </c>
      <c r="AL109" s="3">
        <f ca="1">INDIRECT(ADDRESS(109,3))</f>
        <v>384783.25699999998</v>
      </c>
      <c r="AM109" s="4">
        <f ca="1">IFERROR(INDIRECT(ADDRESS(109,3)) / INDIRECT(ADDRESS(110,3)),0)</f>
        <v>3.6259466248765465E-3</v>
      </c>
      <c r="AN109" s="3">
        <f ca="1">INDIRECT(ADDRESS(109,9))</f>
        <v>366534.65700000001</v>
      </c>
      <c r="AO109" s="4">
        <f ca="1">IFERROR(INDIRECT(ADDRESS(109,9)) / INDIRECT(ADDRESS(110,9)),0)</f>
        <v>4.7871603641983064E-3</v>
      </c>
      <c r="AP109" s="4">
        <f ca="1">IFERROR((INDIRECT(ADDRESS(109,9)) - INDIRECT(ADDRESS(109,3)))/ INDIRECT(ADDRESS(109,3)),1)</f>
        <v>-4.7425660207455381E-2</v>
      </c>
      <c r="AQ109" s="3">
        <f ca="1">INDIRECT(ADDRESS(109,14))</f>
        <v>335590.65700000001</v>
      </c>
      <c r="AR109" s="4">
        <f ca="1">IFERROR(INDIRECT(ADDRESS(109,14)) / INDIRECT(ADDRESS(110,14)),0)</f>
        <v>6.2269222407880225E-3</v>
      </c>
      <c r="AS109" s="4">
        <f ca="1">IFERROR((INDIRECT(ADDRESS(109,14)) - INDIRECT(ADDRESS(109,3)))/ INDIRECT(ADDRESS(109,3)),1)</f>
        <v>-0.12784495974054291</v>
      </c>
      <c r="AT109" s="3">
        <f ca="1">INDIRECT(ADDRESS(109,19))</f>
        <v>286521.19699999999</v>
      </c>
      <c r="AU109" s="4">
        <f ca="1">IFERROR(INDIRECT(ADDRESS(109,19)) / INDIRECT(ADDRESS(110,19)),0)</f>
        <v>6.3953604423509702E-3</v>
      </c>
      <c r="AV109" s="4">
        <f ca="1">IFERROR((INDIRECT(ADDRESS(109,19)) - INDIRECT(ADDRESS(109,3)))/ INDIRECT(ADDRESS(109,3)),1)</f>
        <v>-0.25536989516152464</v>
      </c>
      <c r="AW109" s="3">
        <f ca="1">INDIRECT(ADDRESS(109,24))</f>
        <v>258280.747</v>
      </c>
      <c r="AX109" s="4">
        <f ca="1">IFERROR(INDIRECT(ADDRESS(109,24)) / INDIRECT(ADDRESS(110,24)),0)</f>
        <v>6.7523579917305879E-3</v>
      </c>
      <c r="AY109" s="4">
        <f ca="1">IFERROR((INDIRECT(ADDRESS(109,24)) - INDIRECT(ADDRESS(109,3)))/ INDIRECT(ADDRESS(109,3)),1)</f>
        <v>-0.32876303139146201</v>
      </c>
      <c r="AZ109" s="3">
        <f ca="1">INDIRECT(ADDRESS(109,29))</f>
        <v>246754.747</v>
      </c>
      <c r="BA109" s="4">
        <f ca="1">IFERROR(INDIRECT(ADDRESS(109,29)) / INDIRECT(ADDRESS(110,29)),0)</f>
        <v>7.8442994822544524E-3</v>
      </c>
      <c r="BB109" s="4">
        <f ca="1">IFERROR((INDIRECT(ADDRESS(109,29)) - INDIRECT(ADDRESS(109,3)))/ INDIRECT(ADDRESS(109,3)),1)</f>
        <v>-0.35871755719350334</v>
      </c>
      <c r="BC109" s="3">
        <f ca="1">INDIRECT(ADDRESS(109,34))</f>
        <v>243564.07699999999</v>
      </c>
      <c r="BD109" s="4">
        <f ca="1">IFERROR(INDIRECT(ADDRESS(109,34)) / INDIRECT(ADDRESS(110,34)),0)</f>
        <v>8.9965884750688452E-3</v>
      </c>
      <c r="BE109" s="4">
        <f ca="1">IFERROR((INDIRECT(ADDRESS(109,34)) - INDIRECT(ADDRESS(109,3)))/ INDIRECT(ADDRESS(109,3)),1)</f>
        <v>-0.36700967994561157</v>
      </c>
    </row>
    <row r="110" spans="1:57" x14ac:dyDescent="0.25">
      <c r="A110" s="1" t="s">
        <v>21</v>
      </c>
      <c r="B110" s="1"/>
      <c r="C110">
        <v>106119393.58404119</v>
      </c>
      <c r="D110">
        <v>105308854.4726411</v>
      </c>
      <c r="E110">
        <v>104536704.84547099</v>
      </c>
      <c r="F110">
        <v>103524986.9762115</v>
      </c>
      <c r="G110">
        <v>99394126.579641223</v>
      </c>
      <c r="H110">
        <v>94812456.467271239</v>
      </c>
      <c r="I110">
        <v>76566195.63890098</v>
      </c>
      <c r="J110">
        <v>72489597.406441137</v>
      </c>
      <c r="K110">
        <v>68439396.983941048</v>
      </c>
      <c r="L110">
        <v>64462902.398641661</v>
      </c>
      <c r="M110">
        <v>60577604.5662416</v>
      </c>
      <c r="N110">
        <v>53893503.728341199</v>
      </c>
      <c r="O110">
        <v>51855978.320141397</v>
      </c>
      <c r="P110">
        <v>49973297.171940997</v>
      </c>
      <c r="Q110">
        <v>48194019.093841702</v>
      </c>
      <c r="R110">
        <v>46354500.315841101</v>
      </c>
      <c r="S110">
        <v>44801414.9605418</v>
      </c>
      <c r="T110">
        <v>43260948.198341802</v>
      </c>
      <c r="U110">
        <v>41778078.685341001</v>
      </c>
      <c r="V110">
        <v>40371041.998041093</v>
      </c>
      <c r="W110">
        <v>39251698.006241113</v>
      </c>
      <c r="X110">
        <v>38250452.2592417</v>
      </c>
      <c r="Y110">
        <v>36796736.744541697</v>
      </c>
      <c r="Z110">
        <v>35428353.448841497</v>
      </c>
      <c r="AA110">
        <v>34143512.780241802</v>
      </c>
      <c r="AB110">
        <v>32919978.6881418</v>
      </c>
      <c r="AC110">
        <v>31456568.8826917</v>
      </c>
      <c r="AD110">
        <v>30504104.960321099</v>
      </c>
      <c r="AE110">
        <v>29597878.281161301</v>
      </c>
      <c r="AF110">
        <v>28728625.9840919</v>
      </c>
      <c r="AG110">
        <v>27882920.0022314</v>
      </c>
      <c r="AH110">
        <v>27072937.444561299</v>
      </c>
    </row>
    <row r="111" spans="1:57" x14ac:dyDescent="0.25">
      <c r="A111" s="5" t="s">
        <v>4</v>
      </c>
      <c r="B111" s="1" t="s">
        <v>40</v>
      </c>
      <c r="C111">
        <v>8510024.0999999996</v>
      </c>
      <c r="D111">
        <v>8510024.0999999996</v>
      </c>
      <c r="E111">
        <v>8510024.0999999996</v>
      </c>
      <c r="F111">
        <v>8510024.0999999996</v>
      </c>
      <c r="G111">
        <v>8510024.0999999996</v>
      </c>
      <c r="H111">
        <v>8510024.0999999996</v>
      </c>
      <c r="I111">
        <v>8510024.0999999996</v>
      </c>
      <c r="J111">
        <v>8510106</v>
      </c>
      <c r="K111">
        <v>8510187.9000000004</v>
      </c>
      <c r="L111">
        <v>8510269.8000000007</v>
      </c>
      <c r="M111">
        <v>8510351.6999999993</v>
      </c>
      <c r="N111">
        <v>8510433.5</v>
      </c>
      <c r="O111">
        <v>8510624.5999999996</v>
      </c>
      <c r="P111">
        <v>8510815.6999999993</v>
      </c>
      <c r="Q111">
        <v>8511006.6999999993</v>
      </c>
      <c r="R111">
        <v>8511197.8000000007</v>
      </c>
      <c r="S111">
        <v>8511388.9000000004</v>
      </c>
      <c r="T111">
        <v>8511695.9000000004</v>
      </c>
      <c r="U111">
        <v>8512003</v>
      </c>
      <c r="V111">
        <v>8512310.0999999996</v>
      </c>
      <c r="W111">
        <v>8512617.0999999996</v>
      </c>
      <c r="X111">
        <v>8512924.1999999993</v>
      </c>
      <c r="Y111">
        <v>8513091.4000000004</v>
      </c>
      <c r="Z111">
        <v>8513258.5999999996</v>
      </c>
      <c r="AA111">
        <v>8513425.8000000007</v>
      </c>
      <c r="AB111">
        <v>8513592.9000000004</v>
      </c>
      <c r="AC111">
        <v>8513760.0999999996</v>
      </c>
      <c r="AD111">
        <v>8513824.9000000004</v>
      </c>
      <c r="AE111">
        <v>8513889.8000000007</v>
      </c>
      <c r="AF111">
        <v>8513954.5999999996</v>
      </c>
      <c r="AG111">
        <v>8514019.4000000004</v>
      </c>
      <c r="AH111">
        <v>8514084.1999999993</v>
      </c>
      <c r="AK111" s="3" t="str">
        <f ca="1">INDIRECT(ADDRESS(111,2))</f>
        <v>Coal</v>
      </c>
      <c r="AL111" s="3">
        <f ca="1">INDIRECT(ADDRESS(111,3))</f>
        <v>8510024.0999999996</v>
      </c>
      <c r="AM111" s="4">
        <f ca="1">IFERROR(INDIRECT(ADDRESS(111,3)) / INDIRECT(ADDRESS(124,3)),0)</f>
        <v>8.0192920564142608E-2</v>
      </c>
      <c r="AN111" s="3">
        <f ca="1">INDIRECT(ADDRESS(111,9))</f>
        <v>8510024.0999999996</v>
      </c>
      <c r="AO111" s="4">
        <f ca="1">IFERROR(INDIRECT(ADDRESS(111,9)) / INDIRECT(ADDRESS(124,9)),0)</f>
        <v>8.1433776436716773E-2</v>
      </c>
      <c r="AP111" s="4">
        <f ca="1">IFERROR((INDIRECT(ADDRESS(111,9)) - INDIRECT(ADDRESS(111,3)))/ INDIRECT(ADDRESS(111,3)),1)</f>
        <v>0</v>
      </c>
      <c r="AQ111" s="3">
        <f ca="1">INDIRECT(ADDRESS(111,14))</f>
        <v>8510433.5</v>
      </c>
      <c r="AR111" s="4">
        <f ca="1">IFERROR(INDIRECT(ADDRESS(111,14)) / INDIRECT(ADDRESS(124,14)),0)</f>
        <v>8.3677917888566281E-2</v>
      </c>
      <c r="AS111" s="4">
        <f ca="1">IFERROR((INDIRECT(ADDRESS(111,14)) - INDIRECT(ADDRESS(111,3)))/ INDIRECT(ADDRESS(111,3)),1)</f>
        <v>4.8107971868184547E-5</v>
      </c>
      <c r="AT111" s="3">
        <f ca="1">INDIRECT(ADDRESS(111,19))</f>
        <v>8511388.9000000004</v>
      </c>
      <c r="AU111" s="4">
        <f ca="1">IFERROR(INDIRECT(ADDRESS(111,19)) / INDIRECT(ADDRESS(124,19)),0)</f>
        <v>8.3686148686775305E-2</v>
      </c>
      <c r="AV111" s="4">
        <f ca="1">IFERROR((INDIRECT(ADDRESS(111,19)) - INDIRECT(ADDRESS(111,3)))/ INDIRECT(ADDRESS(111,3)),1)</f>
        <v>1.6037557402460764E-4</v>
      </c>
      <c r="AW111" s="3">
        <f ca="1">INDIRECT(ADDRESS(111,24))</f>
        <v>8512924.1999999993</v>
      </c>
      <c r="AX111" s="4">
        <f ca="1">IFERROR(INDIRECT(ADDRESS(111,24)) / INDIRECT(ADDRESS(124,24)),0)</f>
        <v>8.3320966643689376E-2</v>
      </c>
      <c r="AY111" s="4">
        <f ca="1">IFERROR((INDIRECT(ADDRESS(111,24)) - INDIRECT(ADDRESS(111,3)))/ INDIRECT(ADDRESS(111,3)),1)</f>
        <v>3.4078634395402329E-4</v>
      </c>
      <c r="AZ111" s="3">
        <f ca="1">INDIRECT(ADDRESS(111,29))</f>
        <v>8513760.0999999996</v>
      </c>
      <c r="BA111" s="4">
        <f ca="1">IFERROR(INDIRECT(ADDRESS(111,29)) / INDIRECT(ADDRESS(124,29)),0)</f>
        <v>8.2907800935566503E-2</v>
      </c>
      <c r="BB111" s="4">
        <f ca="1">IFERROR((INDIRECT(ADDRESS(111,29)) - INDIRECT(ADDRESS(111,3)))/ INDIRECT(ADDRESS(111,3)),1)</f>
        <v>4.3901168270487039E-4</v>
      </c>
      <c r="BC111" s="3">
        <f ca="1">INDIRECT(ADDRESS(111,34))</f>
        <v>8514084.1999999993</v>
      </c>
      <c r="BD111" s="4">
        <f ca="1">IFERROR(INDIRECT(ADDRESS(111,34)) / INDIRECT(ADDRESS(124,34)),0)</f>
        <v>8.2264643407123375E-2</v>
      </c>
      <c r="BE111" s="4">
        <f ca="1">IFERROR((INDIRECT(ADDRESS(111,34)) - INDIRECT(ADDRESS(111,3)))/ INDIRECT(ADDRESS(111,3)),1)</f>
        <v>4.7709618119643491E-4</v>
      </c>
    </row>
    <row r="112" spans="1:57" x14ac:dyDescent="0.25">
      <c r="A112" s="5"/>
      <c r="B112" s="1" t="s">
        <v>41</v>
      </c>
      <c r="C112">
        <v>16213790</v>
      </c>
      <c r="D112">
        <v>15618830</v>
      </c>
      <c r="E112">
        <v>15608890</v>
      </c>
      <c r="F112">
        <v>15554650</v>
      </c>
      <c r="G112">
        <v>15519720</v>
      </c>
      <c r="H112">
        <v>15468090</v>
      </c>
      <c r="I112">
        <v>15468100</v>
      </c>
      <c r="J112">
        <v>15375690</v>
      </c>
      <c r="K112">
        <v>15310440</v>
      </c>
      <c r="L112">
        <v>15254690</v>
      </c>
      <c r="M112">
        <v>15205550</v>
      </c>
      <c r="N112">
        <v>15179170</v>
      </c>
      <c r="O112">
        <v>15155940</v>
      </c>
      <c r="P112">
        <v>15148540</v>
      </c>
      <c r="Q112">
        <v>15140100</v>
      </c>
      <c r="R112">
        <v>15122360</v>
      </c>
      <c r="S112">
        <v>15127430</v>
      </c>
      <c r="T112">
        <v>15130150</v>
      </c>
      <c r="U112">
        <v>15135160</v>
      </c>
      <c r="V112">
        <v>15143480</v>
      </c>
      <c r="W112">
        <v>15157400</v>
      </c>
      <c r="X112">
        <v>15176440</v>
      </c>
      <c r="Y112">
        <v>15192240</v>
      </c>
      <c r="Z112">
        <v>15208910</v>
      </c>
      <c r="AA112">
        <v>15226550</v>
      </c>
      <c r="AB112">
        <v>15245670</v>
      </c>
      <c r="AC112">
        <v>15266630</v>
      </c>
      <c r="AD112">
        <v>15292200</v>
      </c>
      <c r="AE112">
        <v>15320310</v>
      </c>
      <c r="AF112">
        <v>15350900</v>
      </c>
      <c r="AG112">
        <v>15383660</v>
      </c>
      <c r="AH112">
        <v>15417470</v>
      </c>
      <c r="AK112" s="3" t="str">
        <f ca="1">INDIRECT(ADDRESS(112,2))</f>
        <v>Diesel</v>
      </c>
      <c r="AL112" s="3">
        <f ca="1">INDIRECT(ADDRESS(112,3))</f>
        <v>16213790</v>
      </c>
      <c r="AM112" s="4">
        <f ca="1">IFERROR(INDIRECT(ADDRESS(112,3)) / INDIRECT(ADDRESS(124,3)),0)</f>
        <v>0.15278818934410418</v>
      </c>
      <c r="AN112" s="3">
        <f ca="1">INDIRECT(ADDRESS(112,9))</f>
        <v>15468100</v>
      </c>
      <c r="AO112" s="4">
        <f ca="1">IFERROR(INDIRECT(ADDRESS(112,9)) / INDIRECT(ADDRESS(124,9)),0)</f>
        <v>0.1480167132900104</v>
      </c>
      <c r="AP112" s="4">
        <f ca="1">IFERROR((INDIRECT(ADDRESS(112,9)) - INDIRECT(ADDRESS(112,3)))/ INDIRECT(ADDRESS(112,3)),1)</f>
        <v>-4.5991097701401092E-2</v>
      </c>
      <c r="AQ112" s="3">
        <f ca="1">INDIRECT(ADDRESS(112,14))</f>
        <v>15179170</v>
      </c>
      <c r="AR112" s="4">
        <f ca="1">IFERROR(INDIRECT(ADDRESS(112,14)) / INDIRECT(ADDRESS(124,14)),0)</f>
        <v>0.14924754900870663</v>
      </c>
      <c r="AS112" s="4">
        <f ca="1">IFERROR((INDIRECT(ADDRESS(112,14)) - INDIRECT(ADDRESS(112,3)))/ INDIRECT(ADDRESS(112,3)),1)</f>
        <v>-6.381111387282061E-2</v>
      </c>
      <c r="AT112" s="3">
        <f ca="1">INDIRECT(ADDRESS(112,19))</f>
        <v>15127430</v>
      </c>
      <c r="AU112" s="4">
        <f ca="1">IFERROR(INDIRECT(ADDRESS(112,19)) / INDIRECT(ADDRESS(124,19)),0)</f>
        <v>0.14873675390731883</v>
      </c>
      <c r="AV112" s="4">
        <f ca="1">IFERROR((INDIRECT(ADDRESS(112,19)) - INDIRECT(ADDRESS(112,3)))/ INDIRECT(ADDRESS(112,3)),1)</f>
        <v>-6.7002224649511305E-2</v>
      </c>
      <c r="AW112" s="3">
        <f ca="1">INDIRECT(ADDRESS(112,24))</f>
        <v>15176440</v>
      </c>
      <c r="AX112" s="4">
        <f ca="1">IFERROR(INDIRECT(ADDRESS(112,24)) / INDIRECT(ADDRESS(124,24)),0)</f>
        <v>0.14854069192933178</v>
      </c>
      <c r="AY112" s="4">
        <f ca="1">IFERROR((INDIRECT(ADDRESS(112,24)) - INDIRECT(ADDRESS(112,3)))/ INDIRECT(ADDRESS(112,3)),1)</f>
        <v>-6.3979489064555542E-2</v>
      </c>
      <c r="AZ112" s="3">
        <f ca="1">INDIRECT(ADDRESS(112,29))</f>
        <v>15266630</v>
      </c>
      <c r="BA112" s="4">
        <f ca="1">IFERROR(INDIRECT(ADDRESS(112,29)) / INDIRECT(ADDRESS(124,29)),0)</f>
        <v>0.14866788658949265</v>
      </c>
      <c r="BB112" s="4">
        <f ca="1">IFERROR((INDIRECT(ADDRESS(112,29)) - INDIRECT(ADDRESS(112,3)))/ INDIRECT(ADDRESS(112,3)),1)</f>
        <v>-5.8416940147861786E-2</v>
      </c>
      <c r="BC112" s="3">
        <f ca="1">INDIRECT(ADDRESS(112,34))</f>
        <v>15417470</v>
      </c>
      <c r="BD112" s="4">
        <f ca="1">IFERROR(INDIRECT(ADDRESS(112,34)) / INDIRECT(ADDRESS(124,34)),0)</f>
        <v>0.14896642339877525</v>
      </c>
      <c r="BE112" s="4">
        <f ca="1">IFERROR((INDIRECT(ADDRESS(112,34)) - INDIRECT(ADDRESS(112,3)))/ INDIRECT(ADDRESS(112,3)),1)</f>
        <v>-4.9113748235298474E-2</v>
      </c>
    </row>
    <row r="113" spans="1:57" x14ac:dyDescent="0.25">
      <c r="A113" s="5"/>
      <c r="B113" s="1" t="s">
        <v>42</v>
      </c>
      <c r="C113">
        <v>6884914.7750000004</v>
      </c>
      <c r="D113">
        <v>6884393.2300000004</v>
      </c>
      <c r="E113">
        <v>6882733.7209999999</v>
      </c>
      <c r="F113">
        <v>6882792.6799999997</v>
      </c>
      <c r="G113">
        <v>6883043.2050000001</v>
      </c>
      <c r="H113">
        <v>6883437.9960000003</v>
      </c>
      <c r="I113">
        <v>6883917.3540000003</v>
      </c>
      <c r="J113">
        <v>6888188.5350000001</v>
      </c>
      <c r="K113">
        <v>6892478.2910000002</v>
      </c>
      <c r="L113">
        <v>6896770.1220000004</v>
      </c>
      <c r="M113">
        <v>6901046.9270000001</v>
      </c>
      <c r="N113">
        <v>6905308.5080000004</v>
      </c>
      <c r="O113">
        <v>6914624.4900000002</v>
      </c>
      <c r="P113">
        <v>6923930.165</v>
      </c>
      <c r="Q113">
        <v>6933226.1330000004</v>
      </c>
      <c r="R113">
        <v>6942514.9939999999</v>
      </c>
      <c r="S113">
        <v>6951795.648</v>
      </c>
      <c r="T113">
        <v>6966362.6189999999</v>
      </c>
      <c r="U113">
        <v>6980922.9890000001</v>
      </c>
      <c r="V113">
        <v>6995476.8569999998</v>
      </c>
      <c r="W113">
        <v>7010024.1229999997</v>
      </c>
      <c r="X113">
        <v>7024564.8870000001</v>
      </c>
      <c r="Y113">
        <v>7032267.2810000004</v>
      </c>
      <c r="Z113">
        <v>7039963.75</v>
      </c>
      <c r="AA113">
        <v>7047654.2929999996</v>
      </c>
      <c r="AB113">
        <v>7055339.9119999995</v>
      </c>
      <c r="AC113">
        <v>7063022.7060000002</v>
      </c>
      <c r="AD113">
        <v>7065617.0860000001</v>
      </c>
      <c r="AE113">
        <v>7068238.0389999999</v>
      </c>
      <c r="AF113">
        <v>7070878.8650000002</v>
      </c>
      <c r="AG113">
        <v>7073544.4639999997</v>
      </c>
      <c r="AH113">
        <v>7076205.0369999995</v>
      </c>
      <c r="AK113" s="3" t="str">
        <f ca="1">INDIRECT(ADDRESS(113,2))</f>
        <v>Fuel Oil</v>
      </c>
      <c r="AL113" s="3">
        <f ca="1">INDIRECT(ADDRESS(113,3))</f>
        <v>6884914.7750000004</v>
      </c>
      <c r="AM113" s="4">
        <f ca="1">IFERROR(INDIRECT(ADDRESS(113,3)) / INDIRECT(ADDRESS(124,3)),0)</f>
        <v>6.4878949478235526E-2</v>
      </c>
      <c r="AN113" s="3">
        <f ca="1">INDIRECT(ADDRESS(113,9))</f>
        <v>6883917.3540000003</v>
      </c>
      <c r="AO113" s="4">
        <f ca="1">IFERROR(INDIRECT(ADDRESS(113,9)) / INDIRECT(ADDRESS(124,9)),0)</f>
        <v>6.5873301911621024E-2</v>
      </c>
      <c r="AP113" s="4">
        <f ca="1">IFERROR((INDIRECT(ADDRESS(113,9)) - INDIRECT(ADDRESS(113,3)))/ INDIRECT(ADDRESS(113,3)),1)</f>
        <v>-1.448704933315735E-4</v>
      </c>
      <c r="AQ113" s="3">
        <f ca="1">INDIRECT(ADDRESS(113,14))</f>
        <v>6905308.5080000004</v>
      </c>
      <c r="AR113" s="4">
        <f ca="1">IFERROR(INDIRECT(ADDRESS(113,14)) / INDIRECT(ADDRESS(124,14)),0)</f>
        <v>6.7895699828644698E-2</v>
      </c>
      <c r="AS113" s="4">
        <f ca="1">IFERROR((INDIRECT(ADDRESS(113,14)) - INDIRECT(ADDRESS(113,3)))/ INDIRECT(ADDRESS(113,3)),1)</f>
        <v>2.9620893891166584E-3</v>
      </c>
      <c r="AT113" s="3">
        <f ca="1">INDIRECT(ADDRESS(113,19))</f>
        <v>6951795.648</v>
      </c>
      <c r="AU113" s="4">
        <f ca="1">IFERROR(INDIRECT(ADDRESS(113,19)) / INDIRECT(ADDRESS(124,19)),0)</f>
        <v>6.8351829657155652E-2</v>
      </c>
      <c r="AV113" s="4">
        <f ca="1">IFERROR((INDIRECT(ADDRESS(113,19)) - INDIRECT(ADDRESS(113,3)))/ INDIRECT(ADDRESS(113,3)),1)</f>
        <v>9.7141177756989248E-3</v>
      </c>
      <c r="AW113" s="3">
        <f ca="1">INDIRECT(ADDRESS(113,24))</f>
        <v>7024564.8870000001</v>
      </c>
      <c r="AX113" s="4">
        <f ca="1">IFERROR(INDIRECT(ADDRESS(113,24)) / INDIRECT(ADDRESS(124,24)),0)</f>
        <v>6.8753523805152483E-2</v>
      </c>
      <c r="AY113" s="4">
        <f ca="1">IFERROR((INDIRECT(ADDRESS(113,24)) - INDIRECT(ADDRESS(113,3)))/ INDIRECT(ADDRESS(113,3)),1)</f>
        <v>2.0283491744456594E-2</v>
      </c>
      <c r="AZ113" s="3">
        <f ca="1">INDIRECT(ADDRESS(113,29))</f>
        <v>7063022.7060000002</v>
      </c>
      <c r="BA113" s="4">
        <f ca="1">IFERROR(INDIRECT(ADDRESS(113,29)) / INDIRECT(ADDRESS(124,29)),0)</f>
        <v>6.878038300755436E-2</v>
      </c>
      <c r="BB113" s="4">
        <f ca="1">IFERROR((INDIRECT(ADDRESS(113,29)) - INDIRECT(ADDRESS(113,3)))/ INDIRECT(ADDRESS(113,3)),1)</f>
        <v>2.5869300756885528E-2</v>
      </c>
      <c r="BC113" s="3">
        <f ca="1">INDIRECT(ADDRESS(113,34))</f>
        <v>7076205.0369999995</v>
      </c>
      <c r="BD113" s="4">
        <f ca="1">IFERROR(INDIRECT(ADDRESS(113,34)) / INDIRECT(ADDRESS(124,34)),0)</f>
        <v>6.8371591162381895E-2</v>
      </c>
      <c r="BE113" s="4">
        <f ca="1">IFERROR((INDIRECT(ADDRESS(113,34)) - INDIRECT(ADDRESS(113,3)))/ INDIRECT(ADDRESS(113,3)),1)</f>
        <v>2.778396948275938E-2</v>
      </c>
    </row>
    <row r="114" spans="1:57" x14ac:dyDescent="0.25">
      <c r="A114" s="5"/>
      <c r="B114" s="1" t="s">
        <v>25</v>
      </c>
      <c r="C114">
        <v>221100.7</v>
      </c>
      <c r="D114">
        <v>221231.2</v>
      </c>
      <c r="E114">
        <v>221445.5</v>
      </c>
      <c r="F114">
        <v>221824.6</v>
      </c>
      <c r="G114">
        <v>222191.6</v>
      </c>
      <c r="H114">
        <v>222536</v>
      </c>
      <c r="I114">
        <v>222860.79999999999</v>
      </c>
      <c r="J114">
        <v>222852.2</v>
      </c>
      <c r="K114">
        <v>222850.9</v>
      </c>
      <c r="L114">
        <v>222879.7</v>
      </c>
      <c r="M114">
        <v>222950.8</v>
      </c>
      <c r="N114">
        <v>223057.8</v>
      </c>
      <c r="O114">
        <v>223131.1</v>
      </c>
      <c r="P114">
        <v>223184.5</v>
      </c>
      <c r="Q114">
        <v>223203</v>
      </c>
      <c r="R114">
        <v>223191.1</v>
      </c>
      <c r="S114">
        <v>223161.7</v>
      </c>
      <c r="T114">
        <v>223077.4</v>
      </c>
      <c r="U114">
        <v>222989.8</v>
      </c>
      <c r="V114">
        <v>222899.8</v>
      </c>
      <c r="W114">
        <v>222807.8</v>
      </c>
      <c r="X114">
        <v>222713.60000000001</v>
      </c>
      <c r="Y114">
        <v>222584.5</v>
      </c>
      <c r="Z114">
        <v>222453</v>
      </c>
      <c r="AA114">
        <v>222319.2</v>
      </c>
      <c r="AB114">
        <v>222183.1</v>
      </c>
      <c r="AC114">
        <v>222047.2</v>
      </c>
      <c r="AD114">
        <v>221879.9</v>
      </c>
      <c r="AE114">
        <v>221714</v>
      </c>
      <c r="AF114">
        <v>221548.6</v>
      </c>
      <c r="AG114">
        <v>221381.8</v>
      </c>
      <c r="AH114">
        <v>221213.5</v>
      </c>
      <c r="AK114" s="3" t="str">
        <f ca="1">INDIRECT(ADDRESS(114,2))</f>
        <v>Fugitive</v>
      </c>
      <c r="AL114" s="3">
        <f ca="1">INDIRECT(ADDRESS(114,3))</f>
        <v>221100.7</v>
      </c>
      <c r="AM114" s="4">
        <f ca="1">IFERROR(INDIRECT(ADDRESS(114,3)) / INDIRECT(ADDRESS(124,3)),0)</f>
        <v>2.0835088906242141E-3</v>
      </c>
      <c r="AN114" s="3">
        <f ca="1">INDIRECT(ADDRESS(114,9))</f>
        <v>222860.79999999999</v>
      </c>
      <c r="AO114" s="4">
        <f ca="1">IFERROR(INDIRECT(ADDRESS(114,9)) / INDIRECT(ADDRESS(124,9)),0)</f>
        <v>2.1325905015601365E-3</v>
      </c>
      <c r="AP114" s="4">
        <f ca="1">IFERROR((INDIRECT(ADDRESS(114,9)) - INDIRECT(ADDRESS(114,3)))/ INDIRECT(ADDRESS(114,3)),1)</f>
        <v>7.960626085760817E-3</v>
      </c>
      <c r="AQ114" s="3">
        <f ca="1">INDIRECT(ADDRESS(114,14))</f>
        <v>223057.8</v>
      </c>
      <c r="AR114" s="4">
        <f ca="1">IFERROR(INDIRECT(ADDRESS(114,14)) / INDIRECT(ADDRESS(124,14)),0)</f>
        <v>2.1931917184717133E-3</v>
      </c>
      <c r="AS114" s="4">
        <f ca="1">IFERROR((INDIRECT(ADDRESS(114,14)) - INDIRECT(ADDRESS(114,3)))/ INDIRECT(ADDRESS(114,3)),1)</f>
        <v>8.8516228125916224E-3</v>
      </c>
      <c r="AT114" s="3">
        <f ca="1">INDIRECT(ADDRESS(114,19))</f>
        <v>223161.7</v>
      </c>
      <c r="AU114" s="4">
        <f ca="1">IFERROR(INDIRECT(ADDRESS(114,19)) / INDIRECT(ADDRESS(124,19)),0)</f>
        <v>2.1941828092702405E-3</v>
      </c>
      <c r="AV114" s="4">
        <f ca="1">IFERROR((INDIRECT(ADDRESS(114,19)) - INDIRECT(ADDRESS(114,3)))/ INDIRECT(ADDRESS(114,3)),1)</f>
        <v>9.3215444365395486E-3</v>
      </c>
      <c r="AW114" s="3">
        <f ca="1">INDIRECT(ADDRESS(114,24))</f>
        <v>222713.60000000001</v>
      </c>
      <c r="AX114" s="4">
        <f ca="1">IFERROR(INDIRECT(ADDRESS(114,24)) / INDIRECT(ADDRESS(124,24)),0)</f>
        <v>2.1798282236197967E-3</v>
      </c>
      <c r="AY114" s="4">
        <f ca="1">IFERROR((INDIRECT(ADDRESS(114,24)) - INDIRECT(ADDRESS(114,3)))/ INDIRECT(ADDRESS(114,3)),1)</f>
        <v>7.2948660949512783E-3</v>
      </c>
      <c r="AZ114" s="3">
        <f ca="1">INDIRECT(ADDRESS(114,29))</f>
        <v>222047.2</v>
      </c>
      <c r="BA114" s="4">
        <f ca="1">IFERROR(INDIRECT(ADDRESS(114,29)) / INDIRECT(ADDRESS(124,29)),0)</f>
        <v>2.1623166309207987E-3</v>
      </c>
      <c r="BB114" s="4">
        <f ca="1">IFERROR((INDIRECT(ADDRESS(114,29)) - INDIRECT(ADDRESS(114,3)))/ INDIRECT(ADDRESS(114,3)),1)</f>
        <v>4.2808548322099387E-3</v>
      </c>
      <c r="BC114" s="3">
        <f ca="1">INDIRECT(ADDRESS(114,34))</f>
        <v>221213.5</v>
      </c>
      <c r="BD114" s="4">
        <f ca="1">IFERROR(INDIRECT(ADDRESS(114,34)) / INDIRECT(ADDRESS(124,34)),0)</f>
        <v>2.1374054175247277E-3</v>
      </c>
      <c r="BE114" s="4">
        <f ca="1">IFERROR((INDIRECT(ADDRESS(114,34)) - INDIRECT(ADDRESS(114,3)))/ INDIRECT(ADDRESS(114,3)),1)</f>
        <v>5.1017477556601295E-4</v>
      </c>
    </row>
    <row r="115" spans="1:57" x14ac:dyDescent="0.25">
      <c r="A115" s="5"/>
      <c r="B115" s="1" t="s">
        <v>43</v>
      </c>
      <c r="C115">
        <v>24286310</v>
      </c>
      <c r="D115">
        <v>24297700</v>
      </c>
      <c r="E115">
        <v>24305710</v>
      </c>
      <c r="F115">
        <v>24121830</v>
      </c>
      <c r="G115">
        <v>23991210</v>
      </c>
      <c r="H115">
        <v>23642230</v>
      </c>
      <c r="I115">
        <v>22426240</v>
      </c>
      <c r="J115">
        <v>21835640</v>
      </c>
      <c r="K115">
        <v>21155080</v>
      </c>
      <c r="L115">
        <v>20471120</v>
      </c>
      <c r="M115">
        <v>19870390</v>
      </c>
      <c r="N115">
        <v>19506600</v>
      </c>
      <c r="O115">
        <v>19307600</v>
      </c>
      <c r="P115">
        <v>19249330</v>
      </c>
      <c r="Q115">
        <v>19265360</v>
      </c>
      <c r="R115">
        <v>19173900</v>
      </c>
      <c r="S115">
        <v>19225330</v>
      </c>
      <c r="T115">
        <v>19237250</v>
      </c>
      <c r="U115">
        <v>19245390</v>
      </c>
      <c r="V115">
        <v>19263140</v>
      </c>
      <c r="W115">
        <v>19306440</v>
      </c>
      <c r="X115">
        <v>19372180</v>
      </c>
      <c r="Y115">
        <v>19422250</v>
      </c>
      <c r="Z115">
        <v>19463030</v>
      </c>
      <c r="AA115">
        <v>19498450</v>
      </c>
      <c r="AB115">
        <v>19537160</v>
      </c>
      <c r="AC115">
        <v>19585610</v>
      </c>
      <c r="AD115">
        <v>19647840</v>
      </c>
      <c r="AE115">
        <v>19729090</v>
      </c>
      <c r="AF115">
        <v>19830530</v>
      </c>
      <c r="AG115">
        <v>19950060</v>
      </c>
      <c r="AH115">
        <v>20078370</v>
      </c>
      <c r="AK115" s="3" t="str">
        <f ca="1">INDIRECT(ADDRESS(115,2))</f>
        <v>Gasoline</v>
      </c>
      <c r="AL115" s="3">
        <f ca="1">INDIRECT(ADDRESS(115,3))</f>
        <v>24286310</v>
      </c>
      <c r="AM115" s="4">
        <f ca="1">IFERROR(INDIRECT(ADDRESS(115,3)) / INDIRECT(ADDRESS(124,3)),0)</f>
        <v>0.22885835642065247</v>
      </c>
      <c r="AN115" s="3">
        <f ca="1">INDIRECT(ADDRESS(115,9))</f>
        <v>22426240</v>
      </c>
      <c r="AO115" s="4">
        <f ca="1">IFERROR(INDIRECT(ADDRESS(115,9)) / INDIRECT(ADDRESS(124,9)),0)</f>
        <v>0.21460026352641651</v>
      </c>
      <c r="AP115" s="4">
        <f ca="1">IFERROR((INDIRECT(ADDRESS(115,9)) - INDIRECT(ADDRESS(115,3)))/ INDIRECT(ADDRESS(115,3)),1)</f>
        <v>-7.6589238958079675E-2</v>
      </c>
      <c r="AQ115" s="3">
        <f ca="1">INDIRECT(ADDRESS(115,14))</f>
        <v>19506600</v>
      </c>
      <c r="AR115" s="4">
        <f ca="1">IFERROR(INDIRECT(ADDRESS(115,14)) / INDIRECT(ADDRESS(124,14)),0)</f>
        <v>0.19179653693141566</v>
      </c>
      <c r="AS115" s="4">
        <f ca="1">IFERROR((INDIRECT(ADDRESS(115,14)) - INDIRECT(ADDRESS(115,3)))/ INDIRECT(ADDRESS(115,3)),1)</f>
        <v>-0.1968067606812233</v>
      </c>
      <c r="AT115" s="3">
        <f ca="1">INDIRECT(ADDRESS(115,19))</f>
        <v>19225330</v>
      </c>
      <c r="AU115" s="4">
        <f ca="1">IFERROR(INDIRECT(ADDRESS(115,19)) / INDIRECT(ADDRESS(124,19)),0)</f>
        <v>0.18902835293218967</v>
      </c>
      <c r="AV115" s="4">
        <f ca="1">IFERROR((INDIRECT(ADDRESS(115,19)) - INDIRECT(ADDRESS(115,3)))/ INDIRECT(ADDRESS(115,3)),1)</f>
        <v>-0.20838818247811217</v>
      </c>
      <c r="AW115" s="3">
        <f ca="1">INDIRECT(ADDRESS(115,24))</f>
        <v>19372180</v>
      </c>
      <c r="AX115" s="4">
        <f ca="1">IFERROR(INDIRECT(ADDRESS(115,24)) / INDIRECT(ADDRESS(124,24)),0)</f>
        <v>0.18960685255432516</v>
      </c>
      <c r="AY115" s="4">
        <f ca="1">IFERROR((INDIRECT(ADDRESS(115,24)) - INDIRECT(ADDRESS(115,3)))/ INDIRECT(ADDRESS(115,3)),1)</f>
        <v>-0.20234156609217291</v>
      </c>
      <c r="AZ115" s="3">
        <f ca="1">INDIRECT(ADDRESS(115,29))</f>
        <v>19585610</v>
      </c>
      <c r="BA115" s="4">
        <f ca="1">IFERROR(INDIRECT(ADDRESS(115,29)) / INDIRECT(ADDRESS(124,29)),0)</f>
        <v>0.19072652224269751</v>
      </c>
      <c r="BB115" s="4">
        <f ca="1">IFERROR((INDIRECT(ADDRESS(115,29)) - INDIRECT(ADDRESS(115,3)))/ INDIRECT(ADDRESS(115,3)),1)</f>
        <v>-0.19355348754092327</v>
      </c>
      <c r="BC115" s="3">
        <f ca="1">INDIRECT(ADDRESS(115,34))</f>
        <v>20078370</v>
      </c>
      <c r="BD115" s="4">
        <f ca="1">IFERROR(INDIRECT(ADDRESS(115,34)) / INDIRECT(ADDRESS(124,34)),0)</f>
        <v>0.19400089421787536</v>
      </c>
      <c r="BE115" s="4">
        <f ca="1">IFERROR((INDIRECT(ADDRESS(115,34)) - INDIRECT(ADDRESS(115,3)))/ INDIRECT(ADDRESS(115,3)),1)</f>
        <v>-0.17326386758630685</v>
      </c>
    </row>
    <row r="116" spans="1:57" x14ac:dyDescent="0.25">
      <c r="A116" s="5"/>
      <c r="B116" s="1" t="s">
        <v>44</v>
      </c>
      <c r="C116">
        <v>9786438.5133999996</v>
      </c>
      <c r="D116">
        <v>9857689.2119999994</v>
      </c>
      <c r="E116">
        <v>9981695.9590000007</v>
      </c>
      <c r="F116">
        <v>10128409.047</v>
      </c>
      <c r="G116">
        <v>10279513.749</v>
      </c>
      <c r="H116">
        <v>10430983.069</v>
      </c>
      <c r="I116">
        <v>10591549.131999999</v>
      </c>
      <c r="J116">
        <v>10666337.218</v>
      </c>
      <c r="K116">
        <v>10742500.162</v>
      </c>
      <c r="L116">
        <v>10816791.494999999</v>
      </c>
      <c r="M116">
        <v>10888674.272</v>
      </c>
      <c r="N116">
        <v>10958912.07</v>
      </c>
      <c r="O116">
        <v>11011755.185000001</v>
      </c>
      <c r="P116">
        <v>11063802.790999999</v>
      </c>
      <c r="Q116">
        <v>11119804.503</v>
      </c>
      <c r="R116">
        <v>11175666.370999999</v>
      </c>
      <c r="S116">
        <v>11233106.02</v>
      </c>
      <c r="T116">
        <v>11280459.028000001</v>
      </c>
      <c r="U116">
        <v>11327679.273</v>
      </c>
      <c r="V116">
        <v>11374956.248</v>
      </c>
      <c r="W116">
        <v>11422453.938999999</v>
      </c>
      <c r="X116">
        <v>11470087.811000001</v>
      </c>
      <c r="Y116">
        <v>11519007.773</v>
      </c>
      <c r="Z116">
        <v>11567694.674000001</v>
      </c>
      <c r="AA116">
        <v>11616182.301999999</v>
      </c>
      <c r="AB116">
        <v>11664581.614</v>
      </c>
      <c r="AC116">
        <v>11713167.176000001</v>
      </c>
      <c r="AD116">
        <v>11759487.5</v>
      </c>
      <c r="AE116">
        <v>11806155.608999999</v>
      </c>
      <c r="AF116">
        <v>11853123.118000001</v>
      </c>
      <c r="AG116">
        <v>11900306.793</v>
      </c>
      <c r="AH116">
        <v>11947524.492000001</v>
      </c>
      <c r="AK116" s="3" t="str">
        <f ca="1">INDIRECT(ADDRESS(116,2))</f>
        <v>Grid Electricity</v>
      </c>
      <c r="AL116" s="3">
        <f ca="1">INDIRECT(ADDRESS(116,3))</f>
        <v>9786438.5133999996</v>
      </c>
      <c r="AM116" s="4">
        <f ca="1">IFERROR(INDIRECT(ADDRESS(116,3)) / INDIRECT(ADDRESS(124,3)),0)</f>
        <v>9.2221018071024272E-2</v>
      </c>
      <c r="AN116" s="3">
        <f ca="1">INDIRECT(ADDRESS(116,9))</f>
        <v>10591549.131999999</v>
      </c>
      <c r="AO116" s="4">
        <f ca="1">IFERROR(INDIRECT(ADDRESS(116,9)) / INDIRECT(ADDRESS(124,9)),0)</f>
        <v>0.10135222109815055</v>
      </c>
      <c r="AP116" s="4">
        <f ca="1">IFERROR((INDIRECT(ADDRESS(116,9)) - INDIRECT(ADDRESS(116,3)))/ INDIRECT(ADDRESS(116,3)),1)</f>
        <v>8.2267989268783398E-2</v>
      </c>
      <c r="AQ116" s="3">
        <f ca="1">INDIRECT(ADDRESS(116,14))</f>
        <v>10958912.07</v>
      </c>
      <c r="AR116" s="4">
        <f ca="1">IFERROR(INDIRECT(ADDRESS(116,14)) / INDIRECT(ADDRESS(124,14)),0)</f>
        <v>0.10775231888498722</v>
      </c>
      <c r="AS116" s="4">
        <f ca="1">IFERROR((INDIRECT(ADDRESS(116,14)) - INDIRECT(ADDRESS(116,3)))/ INDIRECT(ADDRESS(116,3)),1)</f>
        <v>0.11980594932411838</v>
      </c>
      <c r="AT116" s="3">
        <f ca="1">INDIRECT(ADDRESS(116,19))</f>
        <v>11233106.02</v>
      </c>
      <c r="AU116" s="4">
        <f ca="1">IFERROR(INDIRECT(ADDRESS(116,19)) / INDIRECT(ADDRESS(124,19)),0)</f>
        <v>0.11044676628558596</v>
      </c>
      <c r="AV116" s="4">
        <f ca="1">IFERROR((INDIRECT(ADDRESS(116,19)) - INDIRECT(ADDRESS(116,3)))/ INDIRECT(ADDRESS(116,3)),1)</f>
        <v>0.14782369547605725</v>
      </c>
      <c r="AW116" s="3">
        <f ca="1">INDIRECT(ADDRESS(116,24))</f>
        <v>11470087.811000001</v>
      </c>
      <c r="AX116" s="4">
        <f ca="1">IFERROR(INDIRECT(ADDRESS(116,24)) / INDIRECT(ADDRESS(124,24)),0)</f>
        <v>0.11226445595516041</v>
      </c>
      <c r="AY116" s="4">
        <f ca="1">IFERROR((INDIRECT(ADDRESS(116,24)) - INDIRECT(ADDRESS(116,3)))/ INDIRECT(ADDRESS(116,3)),1)</f>
        <v>0.17203902066054758</v>
      </c>
      <c r="AZ116" s="3">
        <f ca="1">INDIRECT(ADDRESS(116,29))</f>
        <v>11713167.176000001</v>
      </c>
      <c r="BA116" s="4">
        <f ca="1">IFERROR(INDIRECT(ADDRESS(116,29)) / INDIRECT(ADDRESS(124,29)),0)</f>
        <v>0.11406392958533325</v>
      </c>
      <c r="BB116" s="4">
        <f ca="1">IFERROR((INDIRECT(ADDRESS(116,29)) - INDIRECT(ADDRESS(116,3)))/ INDIRECT(ADDRESS(116,3)),1)</f>
        <v>0.19687740948475221</v>
      </c>
      <c r="BC116" s="3">
        <f ca="1">INDIRECT(ADDRESS(116,34))</f>
        <v>11947524.492000001</v>
      </c>
      <c r="BD116" s="4">
        <f ca="1">IFERROR(INDIRECT(ADDRESS(116,34)) / INDIRECT(ADDRESS(124,34)),0)</f>
        <v>0.11543917335610247</v>
      </c>
      <c r="BE116" s="4">
        <f ca="1">IFERROR((INDIRECT(ADDRESS(116,34)) - INDIRECT(ADDRESS(116,3)))/ INDIRECT(ADDRESS(116,3)),1)</f>
        <v>0.22082455999094583</v>
      </c>
    </row>
    <row r="117" spans="1:57" x14ac:dyDescent="0.25">
      <c r="A117" s="5"/>
      <c r="B117" s="1" t="s">
        <v>45</v>
      </c>
      <c r="C117">
        <v>7872484</v>
      </c>
      <c r="D117">
        <v>7872484</v>
      </c>
      <c r="E117">
        <v>7872484</v>
      </c>
      <c r="F117">
        <v>7872484</v>
      </c>
      <c r="G117">
        <v>7872484</v>
      </c>
      <c r="H117">
        <v>7872484</v>
      </c>
      <c r="I117">
        <v>7872484</v>
      </c>
      <c r="J117">
        <v>7872484</v>
      </c>
      <c r="K117">
        <v>7872484</v>
      </c>
      <c r="L117">
        <v>7872484</v>
      </c>
      <c r="M117">
        <v>7872484</v>
      </c>
      <c r="N117">
        <v>7872484</v>
      </c>
      <c r="O117">
        <v>7872484</v>
      </c>
      <c r="P117">
        <v>7872484</v>
      </c>
      <c r="Q117">
        <v>7872484</v>
      </c>
      <c r="R117">
        <v>7872484</v>
      </c>
      <c r="S117">
        <v>7872484</v>
      </c>
      <c r="T117">
        <v>7872484</v>
      </c>
      <c r="U117">
        <v>7872484</v>
      </c>
      <c r="V117">
        <v>7872484</v>
      </c>
      <c r="W117">
        <v>7872484</v>
      </c>
      <c r="X117">
        <v>7872484</v>
      </c>
      <c r="Y117">
        <v>7872484</v>
      </c>
      <c r="Z117">
        <v>7872484</v>
      </c>
      <c r="AA117">
        <v>7872484</v>
      </c>
      <c r="AB117">
        <v>7872484</v>
      </c>
      <c r="AC117">
        <v>7872484</v>
      </c>
      <c r="AD117">
        <v>7872484</v>
      </c>
      <c r="AE117">
        <v>7872484</v>
      </c>
      <c r="AF117">
        <v>7872484</v>
      </c>
      <c r="AG117">
        <v>7872484</v>
      </c>
      <c r="AH117">
        <v>7872484</v>
      </c>
      <c r="AK117" s="3" t="str">
        <f ca="1">INDIRECT(ADDRESS(117,2))</f>
        <v>Jet Fuel</v>
      </c>
      <c r="AL117" s="3">
        <f ca="1">INDIRECT(ADDRESS(117,3))</f>
        <v>7872484</v>
      </c>
      <c r="AM117" s="4">
        <f ca="1">IFERROR(INDIRECT(ADDRESS(117,3)) / INDIRECT(ADDRESS(124,3)),0)</f>
        <v>7.4185158189444336E-2</v>
      </c>
      <c r="AN117" s="3">
        <f ca="1">INDIRECT(ADDRESS(117,9))</f>
        <v>7872484</v>
      </c>
      <c r="AO117" s="4">
        <f ca="1">IFERROR(INDIRECT(ADDRESS(117,9)) / INDIRECT(ADDRESS(124,9)),0)</f>
        <v>7.5333053646420331E-2</v>
      </c>
      <c r="AP117" s="4">
        <f ca="1">IFERROR((INDIRECT(ADDRESS(117,9)) - INDIRECT(ADDRESS(117,3)))/ INDIRECT(ADDRESS(117,3)),1)</f>
        <v>0</v>
      </c>
      <c r="AQ117" s="3">
        <f ca="1">INDIRECT(ADDRESS(117,14))</f>
        <v>7872484</v>
      </c>
      <c r="AR117" s="4">
        <f ca="1">IFERROR(INDIRECT(ADDRESS(117,14)) / INDIRECT(ADDRESS(124,14)),0)</f>
        <v>7.7405348356350101E-2</v>
      </c>
      <c r="AS117" s="4">
        <f ca="1">IFERROR((INDIRECT(ADDRESS(117,14)) - INDIRECT(ADDRESS(117,3)))/ INDIRECT(ADDRESS(117,3)),1)</f>
        <v>0</v>
      </c>
      <c r="AT117" s="3">
        <f ca="1">INDIRECT(ADDRESS(117,19))</f>
        <v>7872484</v>
      </c>
      <c r="AU117" s="4">
        <f ca="1">IFERROR(INDIRECT(ADDRESS(117,19)) / INDIRECT(ADDRESS(124,19)),0)</f>
        <v>7.740427259272098E-2</v>
      </c>
      <c r="AV117" s="4">
        <f ca="1">IFERROR((INDIRECT(ADDRESS(117,19)) - INDIRECT(ADDRESS(117,3)))/ INDIRECT(ADDRESS(117,3)),1)</f>
        <v>0</v>
      </c>
      <c r="AW117" s="3">
        <f ca="1">INDIRECT(ADDRESS(117,24))</f>
        <v>7872484</v>
      </c>
      <c r="AX117" s="4">
        <f ca="1">IFERROR(INDIRECT(ADDRESS(117,24)) / INDIRECT(ADDRESS(124,24)),0)</f>
        <v>7.7052603941543188E-2</v>
      </c>
      <c r="AY117" s="4">
        <f ca="1">IFERROR((INDIRECT(ADDRESS(117,24)) - INDIRECT(ADDRESS(117,3)))/ INDIRECT(ADDRESS(117,3)),1)</f>
        <v>0</v>
      </c>
      <c r="AZ117" s="3">
        <f ca="1">INDIRECT(ADDRESS(117,29))</f>
        <v>7872484</v>
      </c>
      <c r="BA117" s="4">
        <f ca="1">IFERROR(INDIRECT(ADDRESS(117,29)) / INDIRECT(ADDRESS(124,29)),0)</f>
        <v>7.6662993633145979E-2</v>
      </c>
      <c r="BB117" s="4">
        <f ca="1">IFERROR((INDIRECT(ADDRESS(117,29)) - INDIRECT(ADDRESS(117,3)))/ INDIRECT(ADDRESS(117,3)),1)</f>
        <v>0</v>
      </c>
      <c r="BC117" s="3">
        <f ca="1">INDIRECT(ADDRESS(117,34))</f>
        <v>7872484</v>
      </c>
      <c r="BD117" s="4">
        <f ca="1">IFERROR(INDIRECT(ADDRESS(117,34)) / INDIRECT(ADDRESS(124,34)),0)</f>
        <v>7.6065384576333453E-2</v>
      </c>
      <c r="BE117" s="4">
        <f ca="1">IFERROR((INDIRECT(ADDRESS(117,34)) - INDIRECT(ADDRESS(117,3)))/ INDIRECT(ADDRESS(117,3)),1)</f>
        <v>0</v>
      </c>
    </row>
    <row r="118" spans="1:57" x14ac:dyDescent="0.25">
      <c r="A118" s="5"/>
      <c r="B118" s="1" t="s">
        <v>46</v>
      </c>
      <c r="C118">
        <v>21637454.120000001</v>
      </c>
      <c r="D118">
        <v>21650295.120000001</v>
      </c>
      <c r="E118">
        <v>21671386.120000001</v>
      </c>
      <c r="F118">
        <v>21708690.120000001</v>
      </c>
      <c r="G118">
        <v>21744813.120000001</v>
      </c>
      <c r="H118">
        <v>21778704.120000001</v>
      </c>
      <c r="I118">
        <v>21810671.120000001</v>
      </c>
      <c r="J118">
        <v>21809823.120000001</v>
      </c>
      <c r="K118">
        <v>21809696.120000001</v>
      </c>
      <c r="L118">
        <v>21812532.120000001</v>
      </c>
      <c r="M118">
        <v>21819530.120000001</v>
      </c>
      <c r="N118">
        <v>21830056.120000001</v>
      </c>
      <c r="O118">
        <v>21837272.120000001</v>
      </c>
      <c r="P118">
        <v>21842522.120000001</v>
      </c>
      <c r="Q118">
        <v>21844343.120000001</v>
      </c>
      <c r="R118">
        <v>21843178.120000001</v>
      </c>
      <c r="S118">
        <v>21840280.120000001</v>
      </c>
      <c r="T118">
        <v>21831985.120000001</v>
      </c>
      <c r="U118">
        <v>21823360.120000001</v>
      </c>
      <c r="V118">
        <v>21814510.120000001</v>
      </c>
      <c r="W118">
        <v>21805452.120000001</v>
      </c>
      <c r="X118">
        <v>21796186.120000001</v>
      </c>
      <c r="Y118">
        <v>21783477.120000001</v>
      </c>
      <c r="Z118">
        <v>21770538.120000001</v>
      </c>
      <c r="AA118">
        <v>21757372.120000001</v>
      </c>
      <c r="AB118">
        <v>21743975.120000001</v>
      </c>
      <c r="AC118">
        <v>21730602.120000001</v>
      </c>
      <c r="AD118">
        <v>21714137.120000001</v>
      </c>
      <c r="AE118">
        <v>21697810.120000001</v>
      </c>
      <c r="AF118">
        <v>21681536.120000001</v>
      </c>
      <c r="AG118">
        <v>21665110.120000001</v>
      </c>
      <c r="AH118">
        <v>21648550.120000001</v>
      </c>
      <c r="AK118" s="3" t="str">
        <f ca="1">INDIRECT(ADDRESS(118,2))</f>
        <v>Natural Gas</v>
      </c>
      <c r="AL118" s="3">
        <f ca="1">INDIRECT(ADDRESS(118,3))</f>
        <v>21637454.120000001</v>
      </c>
      <c r="AM118" s="4">
        <f ca="1">IFERROR(INDIRECT(ADDRESS(118,3)) / INDIRECT(ADDRESS(124,3)),0)</f>
        <v>0.20389726504481229</v>
      </c>
      <c r="AN118" s="3">
        <f ca="1">INDIRECT(ADDRESS(118,9))</f>
        <v>21810671.120000001</v>
      </c>
      <c r="AO118" s="4">
        <f ca="1">IFERROR(INDIRECT(ADDRESS(118,9)) / INDIRECT(ADDRESS(124,9)),0)</f>
        <v>0.20870978684077232</v>
      </c>
      <c r="AP118" s="4">
        <f ca="1">IFERROR((INDIRECT(ADDRESS(118,9)) - INDIRECT(ADDRESS(118,3)))/ INDIRECT(ADDRESS(118,3)),1)</f>
        <v>8.0054242536737024E-3</v>
      </c>
      <c r="AQ118" s="3">
        <f ca="1">INDIRECT(ADDRESS(118,14))</f>
        <v>21830056.120000001</v>
      </c>
      <c r="AR118" s="4">
        <f ca="1">IFERROR(INDIRECT(ADDRESS(118,14)) / INDIRECT(ADDRESS(124,14)),0)</f>
        <v>0.21464166819612113</v>
      </c>
      <c r="AS118" s="4">
        <f ca="1">IFERROR((INDIRECT(ADDRESS(118,14)) - INDIRECT(ADDRESS(118,3)))/ INDIRECT(ADDRESS(118,3)),1)</f>
        <v>8.9013244780019422E-3</v>
      </c>
      <c r="AT118" s="3">
        <f ca="1">INDIRECT(ADDRESS(118,19))</f>
        <v>21840280.120000001</v>
      </c>
      <c r="AU118" s="4">
        <f ca="1">IFERROR(INDIRECT(ADDRESS(118,19)) / INDIRECT(ADDRESS(124,19)),0)</f>
        <v>0.21473921012857758</v>
      </c>
      <c r="AV118" s="4">
        <f ca="1">IFERROR((INDIRECT(ADDRESS(118,19)) - INDIRECT(ADDRESS(118,3)))/ INDIRECT(ADDRESS(118,3)),1)</f>
        <v>9.3738384781841422E-3</v>
      </c>
      <c r="AW118" s="3">
        <f ca="1">INDIRECT(ADDRESS(118,24))</f>
        <v>21796186.120000001</v>
      </c>
      <c r="AX118" s="4">
        <f ca="1">IFERROR(INDIRECT(ADDRESS(118,24)) / INDIRECT(ADDRESS(124,24)),0)</f>
        <v>0.21333201776472596</v>
      </c>
      <c r="AY118" s="4">
        <f ca="1">IFERROR((INDIRECT(ADDRESS(118,24)) - INDIRECT(ADDRESS(118,3)))/ INDIRECT(ADDRESS(118,3)),1)</f>
        <v>7.3359832039241778E-3</v>
      </c>
      <c r="AZ118" s="3">
        <f ca="1">INDIRECT(ADDRESS(118,29))</f>
        <v>21730602.120000001</v>
      </c>
      <c r="BA118" s="4">
        <f ca="1">IFERROR(INDIRECT(ADDRESS(118,29)) / INDIRECT(ADDRESS(124,29)),0)</f>
        <v>0.21161465834290533</v>
      </c>
      <c r="BB118" s="4">
        <f ca="1">IFERROR((INDIRECT(ADDRESS(118,29)) - INDIRECT(ADDRESS(118,3)))/ INDIRECT(ADDRESS(118,3)),1)</f>
        <v>4.3049426925832806E-3</v>
      </c>
      <c r="BC118" s="3">
        <f ca="1">INDIRECT(ADDRESS(118,34))</f>
        <v>21648550.120000001</v>
      </c>
      <c r="BD118" s="4">
        <f ca="1">IFERROR(INDIRECT(ADDRESS(118,34)) / INDIRECT(ADDRESS(124,34)),0)</f>
        <v>0.20917226257910843</v>
      </c>
      <c r="BE118" s="4">
        <f ca="1">IFERROR((INDIRECT(ADDRESS(118,34)) - INDIRECT(ADDRESS(118,3)))/ INDIRECT(ADDRESS(118,3)),1)</f>
        <v>5.1281449002559454E-4</v>
      </c>
    </row>
    <row r="119" spans="1:57" x14ac:dyDescent="0.25">
      <c r="A119" s="5"/>
      <c r="B119" s="1" t="s">
        <v>47</v>
      </c>
      <c r="C119">
        <v>5790901</v>
      </c>
      <c r="D119">
        <v>5790901</v>
      </c>
      <c r="E119">
        <v>5790901</v>
      </c>
      <c r="F119">
        <v>5790901</v>
      </c>
      <c r="G119">
        <v>5790901</v>
      </c>
      <c r="H119">
        <v>5790901</v>
      </c>
      <c r="I119">
        <v>5790901</v>
      </c>
      <c r="J119">
        <v>5790901</v>
      </c>
      <c r="K119">
        <v>5790901</v>
      </c>
      <c r="L119">
        <v>5790901</v>
      </c>
      <c r="M119">
        <v>5790901</v>
      </c>
      <c r="N119">
        <v>5790901</v>
      </c>
      <c r="O119">
        <v>5790901</v>
      </c>
      <c r="P119">
        <v>5790901</v>
      </c>
      <c r="Q119">
        <v>5790901</v>
      </c>
      <c r="R119">
        <v>5790901</v>
      </c>
      <c r="S119">
        <v>5790901</v>
      </c>
      <c r="T119">
        <v>5790901</v>
      </c>
      <c r="U119">
        <v>5790901</v>
      </c>
      <c r="V119">
        <v>5790901</v>
      </c>
      <c r="W119">
        <v>5790901</v>
      </c>
      <c r="X119">
        <v>5790901</v>
      </c>
      <c r="Y119">
        <v>5790901</v>
      </c>
      <c r="Z119">
        <v>5790901</v>
      </c>
      <c r="AA119">
        <v>5790901</v>
      </c>
      <c r="AB119">
        <v>5790901</v>
      </c>
      <c r="AC119">
        <v>5790901</v>
      </c>
      <c r="AD119">
        <v>5790901</v>
      </c>
      <c r="AE119">
        <v>5790901</v>
      </c>
      <c r="AF119">
        <v>5790901</v>
      </c>
      <c r="AG119">
        <v>5790901</v>
      </c>
      <c r="AH119">
        <v>5790901</v>
      </c>
      <c r="AK119" s="3" t="str">
        <f ca="1">INDIRECT(ADDRESS(119,2))</f>
        <v>Non Energy</v>
      </c>
      <c r="AL119" s="3">
        <f ca="1">INDIRECT(ADDRESS(119,3))</f>
        <v>5790901</v>
      </c>
      <c r="AM119" s="4">
        <f ca="1">IFERROR(INDIRECT(ADDRESS(119,3)) / INDIRECT(ADDRESS(124,3)),0)</f>
        <v>5.4569676704888999E-2</v>
      </c>
      <c r="AN119" s="3">
        <f ca="1">INDIRECT(ADDRESS(119,9))</f>
        <v>5790901</v>
      </c>
      <c r="AO119" s="4">
        <f ca="1">IFERROR(INDIRECT(ADDRESS(119,9)) / INDIRECT(ADDRESS(124,9)),0)</f>
        <v>5.5414054279959046E-2</v>
      </c>
      <c r="AP119" s="4">
        <f ca="1">IFERROR((INDIRECT(ADDRESS(119,9)) - INDIRECT(ADDRESS(119,3)))/ INDIRECT(ADDRESS(119,3)),1)</f>
        <v>0</v>
      </c>
      <c r="AQ119" s="3">
        <f ca="1">INDIRECT(ADDRESS(119,14))</f>
        <v>5790901</v>
      </c>
      <c r="AR119" s="4">
        <f ca="1">IFERROR(INDIRECT(ADDRESS(119,14)) / INDIRECT(ADDRESS(124,14)),0)</f>
        <v>5.6938408411136322E-2</v>
      </c>
      <c r="AS119" s="4">
        <f ca="1">IFERROR((INDIRECT(ADDRESS(119,14)) - INDIRECT(ADDRESS(119,3)))/ INDIRECT(ADDRESS(119,3)),1)</f>
        <v>0</v>
      </c>
      <c r="AT119" s="3">
        <f ca="1">INDIRECT(ADDRESS(119,19))</f>
        <v>5790901</v>
      </c>
      <c r="AU119" s="4">
        <f ca="1">IFERROR(INDIRECT(ADDRESS(119,19)) / INDIRECT(ADDRESS(124,19)),0)</f>
        <v>5.6937617092833785E-2</v>
      </c>
      <c r="AV119" s="4">
        <f ca="1">IFERROR((INDIRECT(ADDRESS(119,19)) - INDIRECT(ADDRESS(119,3)))/ INDIRECT(ADDRESS(119,3)),1)</f>
        <v>0</v>
      </c>
      <c r="AW119" s="3">
        <f ca="1">INDIRECT(ADDRESS(119,24))</f>
        <v>5790901</v>
      </c>
      <c r="AX119" s="4">
        <f ca="1">IFERROR(INDIRECT(ADDRESS(119,24)) / INDIRECT(ADDRESS(124,24)),0)</f>
        <v>5.667893402103915E-2</v>
      </c>
      <c r="AY119" s="4">
        <f ca="1">IFERROR((INDIRECT(ADDRESS(119,24)) - INDIRECT(ADDRESS(119,3)))/ INDIRECT(ADDRESS(119,3)),1)</f>
        <v>0</v>
      </c>
      <c r="AZ119" s="3">
        <f ca="1">INDIRECT(ADDRESS(119,29))</f>
        <v>5790901</v>
      </c>
      <c r="BA119" s="4">
        <f ca="1">IFERROR(INDIRECT(ADDRESS(119,29)) / INDIRECT(ADDRESS(124,29)),0)</f>
        <v>5.6392341539618085E-2</v>
      </c>
      <c r="BB119" s="4">
        <f ca="1">IFERROR((INDIRECT(ADDRESS(119,29)) - INDIRECT(ADDRESS(119,3)))/ INDIRECT(ADDRESS(119,3)),1)</f>
        <v>0</v>
      </c>
      <c r="BC119" s="3">
        <f ca="1">INDIRECT(ADDRESS(119,34))</f>
        <v>5790901</v>
      </c>
      <c r="BD119" s="4">
        <f ca="1">IFERROR(INDIRECT(ADDRESS(119,34)) / INDIRECT(ADDRESS(124,34)),0)</f>
        <v>5.5952747774206203E-2</v>
      </c>
      <c r="BE119" s="4">
        <f ca="1">IFERROR((INDIRECT(ADDRESS(119,34)) - INDIRECT(ADDRESS(119,3)))/ INDIRECT(ADDRESS(119,3)),1)</f>
        <v>0</v>
      </c>
    </row>
    <row r="120" spans="1:57" x14ac:dyDescent="0.25">
      <c r="A120" s="5"/>
      <c r="B120" s="1" t="s">
        <v>48</v>
      </c>
      <c r="C120">
        <v>3801677</v>
      </c>
      <c r="D120">
        <v>3801677</v>
      </c>
      <c r="E120">
        <v>3801677</v>
      </c>
      <c r="F120">
        <v>3801677</v>
      </c>
      <c r="G120">
        <v>3801677</v>
      </c>
      <c r="H120">
        <v>3801677</v>
      </c>
      <c r="I120">
        <v>3801677</v>
      </c>
      <c r="J120">
        <v>3801677</v>
      </c>
      <c r="K120">
        <v>3801677</v>
      </c>
      <c r="L120">
        <v>3801677</v>
      </c>
      <c r="M120">
        <v>3801677</v>
      </c>
      <c r="N120">
        <v>3801677</v>
      </c>
      <c r="O120">
        <v>3801677</v>
      </c>
      <c r="P120">
        <v>3801677</v>
      </c>
      <c r="Q120">
        <v>3801677</v>
      </c>
      <c r="R120">
        <v>3801677</v>
      </c>
      <c r="S120">
        <v>3801677</v>
      </c>
      <c r="T120">
        <v>3801677</v>
      </c>
      <c r="U120">
        <v>3801677</v>
      </c>
      <c r="V120">
        <v>3801677</v>
      </c>
      <c r="W120">
        <v>3801677</v>
      </c>
      <c r="X120">
        <v>3801677</v>
      </c>
      <c r="Y120">
        <v>3801677</v>
      </c>
      <c r="Z120">
        <v>3801677</v>
      </c>
      <c r="AA120">
        <v>3801677</v>
      </c>
      <c r="AB120">
        <v>3801677</v>
      </c>
      <c r="AC120">
        <v>3801677</v>
      </c>
      <c r="AD120">
        <v>3801677</v>
      </c>
      <c r="AE120">
        <v>3801677</v>
      </c>
      <c r="AF120">
        <v>3801677</v>
      </c>
      <c r="AG120">
        <v>3801677</v>
      </c>
      <c r="AH120">
        <v>3801677</v>
      </c>
      <c r="AK120" s="3" t="str">
        <f ca="1">INDIRECT(ADDRESS(120,2))</f>
        <v>Other</v>
      </c>
      <c r="AL120" s="3">
        <f ca="1">INDIRECT(ADDRESS(120,3))</f>
        <v>3801677</v>
      </c>
      <c r="AM120" s="4">
        <f ca="1">IFERROR(INDIRECT(ADDRESS(120,3)) / INDIRECT(ADDRESS(124,3)),0)</f>
        <v>3.5824526239770338E-2</v>
      </c>
      <c r="AN120" s="3">
        <f ca="1">INDIRECT(ADDRESS(120,9))</f>
        <v>3801677</v>
      </c>
      <c r="AO120" s="4">
        <f ca="1">IFERROR(INDIRECT(ADDRESS(120,9)) / INDIRECT(ADDRESS(124,9)),0)</f>
        <v>3.6378852899207198E-2</v>
      </c>
      <c r="AP120" s="4">
        <f ca="1">IFERROR((INDIRECT(ADDRESS(120,9)) - INDIRECT(ADDRESS(120,3)))/ INDIRECT(ADDRESS(120,3)),1)</f>
        <v>0</v>
      </c>
      <c r="AQ120" s="3">
        <f ca="1">INDIRECT(ADDRESS(120,14))</f>
        <v>3801677</v>
      </c>
      <c r="AR120" s="4">
        <f ca="1">IFERROR(INDIRECT(ADDRESS(120,14)) / INDIRECT(ADDRESS(124,14)),0)</f>
        <v>3.7379578354598625E-2</v>
      </c>
      <c r="AS120" s="4">
        <f ca="1">IFERROR((INDIRECT(ADDRESS(120,14)) - INDIRECT(ADDRESS(120,3)))/ INDIRECT(ADDRESS(120,3)),1)</f>
        <v>0</v>
      </c>
      <c r="AT120" s="3">
        <f ca="1">INDIRECT(ADDRESS(120,19))</f>
        <v>3801677</v>
      </c>
      <c r="AU120" s="4">
        <f ca="1">IFERROR(INDIRECT(ADDRESS(120,19)) / INDIRECT(ADDRESS(124,19)),0)</f>
        <v>3.7379058860897998E-2</v>
      </c>
      <c r="AV120" s="4">
        <f ca="1">IFERROR((INDIRECT(ADDRESS(120,19)) - INDIRECT(ADDRESS(120,3)))/ INDIRECT(ADDRESS(120,3)),1)</f>
        <v>0</v>
      </c>
      <c r="AW120" s="3">
        <f ca="1">INDIRECT(ADDRESS(120,24))</f>
        <v>3801677</v>
      </c>
      <c r="AX120" s="4">
        <f ca="1">IFERROR(INDIRECT(ADDRESS(120,24)) / INDIRECT(ADDRESS(124,24)),0)</f>
        <v>3.72092356357503E-2</v>
      </c>
      <c r="AY120" s="4">
        <f ca="1">IFERROR((INDIRECT(ADDRESS(120,24)) - INDIRECT(ADDRESS(120,3)))/ INDIRECT(ADDRESS(120,3)),1)</f>
        <v>0</v>
      </c>
      <c r="AZ120" s="3">
        <f ca="1">INDIRECT(ADDRESS(120,29))</f>
        <v>3801677</v>
      </c>
      <c r="BA120" s="4">
        <f ca="1">IFERROR(INDIRECT(ADDRESS(120,29)) / INDIRECT(ADDRESS(124,29)),0)</f>
        <v>3.7021090121780814E-2</v>
      </c>
      <c r="BB120" s="4">
        <f ca="1">IFERROR((INDIRECT(ADDRESS(120,29)) - INDIRECT(ADDRESS(120,3)))/ INDIRECT(ADDRESS(120,3)),1)</f>
        <v>0</v>
      </c>
      <c r="BC120" s="3">
        <f ca="1">INDIRECT(ADDRESS(120,34))</f>
        <v>3801677</v>
      </c>
      <c r="BD120" s="4">
        <f ca="1">IFERROR(INDIRECT(ADDRESS(120,34)) / INDIRECT(ADDRESS(124,34)),0)</f>
        <v>3.6732500572881653E-2</v>
      </c>
      <c r="BE120" s="4">
        <f ca="1">IFERROR((INDIRECT(ADDRESS(120,34)) - INDIRECT(ADDRESS(120,3)))/ INDIRECT(ADDRESS(120,3)),1)</f>
        <v>0</v>
      </c>
    </row>
    <row r="121" spans="1:57" x14ac:dyDescent="0.25">
      <c r="A121" s="5"/>
      <c r="B121" s="1" t="s">
        <v>49</v>
      </c>
      <c r="C121">
        <v>729368.12510000006</v>
      </c>
      <c r="D121">
        <v>730476.22510000004</v>
      </c>
      <c r="E121">
        <v>732197.52510000009</v>
      </c>
      <c r="F121">
        <v>734304.82510000002</v>
      </c>
      <c r="G121">
        <v>736691.62510000006</v>
      </c>
      <c r="H121">
        <v>739225.72510000004</v>
      </c>
      <c r="I121">
        <v>741794.02509999997</v>
      </c>
      <c r="J121">
        <v>742575.92509999999</v>
      </c>
      <c r="K121">
        <v>743410.02509999997</v>
      </c>
      <c r="L121">
        <v>744325.02510000009</v>
      </c>
      <c r="M121">
        <v>745329.22509999992</v>
      </c>
      <c r="N121">
        <v>746435.52510000009</v>
      </c>
      <c r="O121">
        <v>747397.62510000006</v>
      </c>
      <c r="P121">
        <v>748405.42509999999</v>
      </c>
      <c r="Q121">
        <v>749428.32510000002</v>
      </c>
      <c r="R121">
        <v>750448.72510000004</v>
      </c>
      <c r="S121">
        <v>751459.72510000004</v>
      </c>
      <c r="T121">
        <v>752338.02509999997</v>
      </c>
      <c r="U121">
        <v>753205.02510000009</v>
      </c>
      <c r="V121">
        <v>754060.72510000004</v>
      </c>
      <c r="W121">
        <v>754905.12510000006</v>
      </c>
      <c r="X121">
        <v>755738.22510000004</v>
      </c>
      <c r="Y121">
        <v>756290.02509999997</v>
      </c>
      <c r="Z121">
        <v>756831.82510000002</v>
      </c>
      <c r="AA121">
        <v>757363.52509999997</v>
      </c>
      <c r="AB121">
        <v>757892.62510000006</v>
      </c>
      <c r="AC121">
        <v>758419.62510000006</v>
      </c>
      <c r="AD121">
        <v>758739.32510000002</v>
      </c>
      <c r="AE121">
        <v>759126.82510000002</v>
      </c>
      <c r="AF121">
        <v>759553.32510000002</v>
      </c>
      <c r="AG121">
        <v>759970.02509999997</v>
      </c>
      <c r="AH121">
        <v>760376.92509999999</v>
      </c>
      <c r="AK121" s="3" t="str">
        <f ca="1">INDIRECT(ADDRESS(121,2))</f>
        <v>Propane</v>
      </c>
      <c r="AL121" s="3">
        <f ca="1">INDIRECT(ADDRESS(121,3))</f>
        <v>729368.12510000006</v>
      </c>
      <c r="AM121" s="4">
        <f ca="1">IFERROR(INDIRECT(ADDRESS(121,3)) / INDIRECT(ADDRESS(124,3)),0)</f>
        <v>6.8730898327493493E-3</v>
      </c>
      <c r="AN121" s="3">
        <f ca="1">INDIRECT(ADDRESS(121,9))</f>
        <v>741794.02509999997</v>
      </c>
      <c r="AO121" s="4">
        <f ca="1">IFERROR(INDIRECT(ADDRESS(121,9)) / INDIRECT(ADDRESS(124,9)),0)</f>
        <v>7.0983452093967246E-3</v>
      </c>
      <c r="AP121" s="4">
        <f ca="1">IFERROR((INDIRECT(ADDRESS(121,9)) - INDIRECT(ADDRESS(121,3)))/ INDIRECT(ADDRESS(121,3)),1)</f>
        <v>1.7036527334254228E-2</v>
      </c>
      <c r="AQ121" s="3">
        <f ca="1">INDIRECT(ADDRESS(121,14))</f>
        <v>746435.52510000009</v>
      </c>
      <c r="AR121" s="4">
        <f ca="1">IFERROR(INDIRECT(ADDRESS(121,14)) / INDIRECT(ADDRESS(124,14)),0)</f>
        <v>7.3392466527617732E-3</v>
      </c>
      <c r="AS121" s="4">
        <f ca="1">IFERROR((INDIRECT(ADDRESS(121,14)) - INDIRECT(ADDRESS(121,3)))/ INDIRECT(ADDRESS(121,3)),1)</f>
        <v>2.3400254840667732E-2</v>
      </c>
      <c r="AT121" s="3">
        <f ca="1">INDIRECT(ADDRESS(121,19))</f>
        <v>751459.72510000004</v>
      </c>
      <c r="AU121" s="4">
        <f ca="1">IFERROR(INDIRECT(ADDRESS(121,19)) / INDIRECT(ADDRESS(124,19)),0)</f>
        <v>7.3885438705358526E-3</v>
      </c>
      <c r="AV121" s="4">
        <f ca="1">IFERROR((INDIRECT(ADDRESS(121,19)) - INDIRECT(ADDRESS(121,3)))/ INDIRECT(ADDRESS(121,3)),1)</f>
        <v>3.0288683093974124E-2</v>
      </c>
      <c r="AW121" s="3">
        <f ca="1">INDIRECT(ADDRESS(121,24))</f>
        <v>755738.22510000004</v>
      </c>
      <c r="AX121" s="4">
        <f ca="1">IFERROR(INDIRECT(ADDRESS(121,24)) / INDIRECT(ADDRESS(124,24)),0)</f>
        <v>7.3968518884401811E-3</v>
      </c>
      <c r="AY121" s="4">
        <f ca="1">IFERROR((INDIRECT(ADDRESS(121,24)) - INDIRECT(ADDRESS(121,3)))/ INDIRECT(ADDRESS(121,3)),1)</f>
        <v>3.6154719533958934E-2</v>
      </c>
      <c r="AZ121" s="3">
        <f ca="1">INDIRECT(ADDRESS(121,29))</f>
        <v>758419.62510000006</v>
      </c>
      <c r="BA121" s="4">
        <f ca="1">IFERROR(INDIRECT(ADDRESS(121,29)) / INDIRECT(ADDRESS(124,29)),0)</f>
        <v>7.385562027219651E-3</v>
      </c>
      <c r="BB121" s="4">
        <f ca="1">IFERROR((INDIRECT(ADDRESS(121,29)) - INDIRECT(ADDRESS(121,3)))/ INDIRECT(ADDRESS(121,3)),1)</f>
        <v>3.9831052386635202E-2</v>
      </c>
      <c r="BC121" s="3">
        <f ca="1">INDIRECT(ADDRESS(121,34))</f>
        <v>760376.92509999999</v>
      </c>
      <c r="BD121" s="4">
        <f ca="1">IFERROR(INDIRECT(ADDRESS(121,34)) / INDIRECT(ADDRESS(124,34)),0)</f>
        <v>7.346901337710105E-3</v>
      </c>
      <c r="BE121" s="4">
        <f ca="1">IFERROR((INDIRECT(ADDRESS(121,34)) - INDIRECT(ADDRESS(121,3)))/ INDIRECT(ADDRESS(121,3)),1)</f>
        <v>4.2514608101016843E-2</v>
      </c>
    </row>
    <row r="122" spans="1:57" x14ac:dyDescent="0.25">
      <c r="A122" s="5"/>
      <c r="B122" s="1" t="s">
        <v>50</v>
      </c>
      <c r="C122">
        <v>147.99354122</v>
      </c>
      <c r="D122">
        <v>147.99354129</v>
      </c>
      <c r="E122">
        <v>147.99354126</v>
      </c>
      <c r="F122">
        <v>147.99354170000001</v>
      </c>
      <c r="G122">
        <v>147.99354091999999</v>
      </c>
      <c r="H122">
        <v>147.99354127000001</v>
      </c>
      <c r="I122">
        <v>147.99354109999999</v>
      </c>
      <c r="J122">
        <v>147.99354127000001</v>
      </c>
      <c r="K122">
        <v>147.99354116999999</v>
      </c>
      <c r="L122">
        <v>147.99354181999999</v>
      </c>
      <c r="M122">
        <v>147.99354123000001</v>
      </c>
      <c r="N122">
        <v>147.99354145000001</v>
      </c>
      <c r="O122">
        <v>147.99354174000001</v>
      </c>
      <c r="P122">
        <v>147.99354091999999</v>
      </c>
      <c r="Q122">
        <v>147.99354099000001</v>
      </c>
      <c r="R122">
        <v>147.99354095999999</v>
      </c>
      <c r="S122">
        <v>147.99354181000001</v>
      </c>
      <c r="T122">
        <v>147.99354154</v>
      </c>
      <c r="U122">
        <v>147.99354104</v>
      </c>
      <c r="V122">
        <v>147.99354131000001</v>
      </c>
      <c r="W122">
        <v>147.99354134999999</v>
      </c>
      <c r="X122">
        <v>147.99354116999999</v>
      </c>
      <c r="Y122">
        <v>147.99354138999999</v>
      </c>
      <c r="Z122">
        <v>147.99354160999999</v>
      </c>
      <c r="AA122">
        <v>147.99354184000001</v>
      </c>
      <c r="AB122">
        <v>147.99354106999999</v>
      </c>
      <c r="AC122">
        <v>147.9935413</v>
      </c>
      <c r="AD122">
        <v>147.99354106999999</v>
      </c>
      <c r="AE122">
        <v>147.99354106000001</v>
      </c>
      <c r="AF122">
        <v>147.99354124999999</v>
      </c>
      <c r="AG122">
        <v>147.99354165</v>
      </c>
      <c r="AH122">
        <v>147.99354124999999</v>
      </c>
      <c r="AK122" s="3" t="str">
        <f ca="1">INDIRECT(ADDRESS(122,2))</f>
        <v>RNG</v>
      </c>
      <c r="AL122" s="3">
        <f ca="1">INDIRECT(ADDRESS(122,3))</f>
        <v>147.99354122</v>
      </c>
      <c r="AM122" s="4">
        <f ca="1">IFERROR(INDIRECT(ADDRESS(122,3)) / INDIRECT(ADDRESS(124,3)),0)</f>
        <v>1.3945946751269042E-6</v>
      </c>
      <c r="AN122" s="3">
        <f ca="1">INDIRECT(ADDRESS(122,9))</f>
        <v>147.99354109999999</v>
      </c>
      <c r="AO122" s="4">
        <f ca="1">IFERROR(INDIRECT(ADDRESS(122,9)) / INDIRECT(ADDRESS(124,9)),0)</f>
        <v>1.4161737732347263E-6</v>
      </c>
      <c r="AP122" s="4">
        <f ca="1">IFERROR((INDIRECT(ADDRESS(122,9)) - INDIRECT(ADDRESS(122,3)))/ INDIRECT(ADDRESS(122,3)),1)</f>
        <v>-8.108462635572612E-10</v>
      </c>
      <c r="AQ122" s="3">
        <f ca="1">INDIRECT(ADDRESS(122,14))</f>
        <v>147.99354145000001</v>
      </c>
      <c r="AR122" s="4">
        <f ca="1">IFERROR(INDIRECT(ADDRESS(122,14)) / INDIRECT(ADDRESS(124,14)),0)</f>
        <v>1.4551305065119456E-6</v>
      </c>
      <c r="AS122" s="4">
        <f ca="1">IFERROR((INDIRECT(ADDRESS(122,14)) - INDIRECT(ADDRESS(122,3)))/ INDIRECT(ADDRESS(122,3)),1)</f>
        <v>1.5541219571396777E-9</v>
      </c>
      <c r="AT122" s="3">
        <f ca="1">INDIRECT(ADDRESS(122,19))</f>
        <v>147.99354181000001</v>
      </c>
      <c r="AU122" s="4">
        <f ca="1">IFERROR(INDIRECT(ADDRESS(122,19)) / INDIRECT(ADDRESS(124,19)),0)</f>
        <v>1.4551102869467235E-6</v>
      </c>
      <c r="AV122" s="4">
        <f ca="1">IFERROR((INDIRECT(ADDRESS(122,19)) - INDIRECT(ADDRESS(122,3)))/ INDIRECT(ADDRESS(122,3)),1)</f>
        <v>3.9866605557645031E-9</v>
      </c>
      <c r="AW122" s="3">
        <f ca="1">INDIRECT(ADDRESS(122,24))</f>
        <v>147.99354116999999</v>
      </c>
      <c r="AX122" s="4">
        <f ca="1">IFERROR(INDIRECT(ADDRESS(122,24)) / INDIRECT(ADDRESS(124,24)),0)</f>
        <v>1.4484993191067106E-6</v>
      </c>
      <c r="AY122" s="4">
        <f ca="1">IFERROR((INDIRECT(ADDRESS(122,24)) - INDIRECT(ADDRESS(122,3)))/ INDIRECT(ADDRESS(122,3)),1)</f>
        <v>-3.3785265782726509E-10</v>
      </c>
      <c r="AZ122" s="3">
        <f ca="1">INDIRECT(ADDRESS(122,29))</f>
        <v>147.9935413</v>
      </c>
      <c r="BA122" s="4">
        <f ca="1">IFERROR(INDIRECT(ADDRESS(122,29)) / INDIRECT(ADDRESS(124,29)),0)</f>
        <v>1.4411750998069514E-6</v>
      </c>
      <c r="BB122" s="4">
        <f ca="1">IFERROR((INDIRECT(ADDRESS(122,29)) - INDIRECT(ADDRESS(122,3)))/ INDIRECT(ADDRESS(122,3)),1)</f>
        <v>5.4056417570484084E-10</v>
      </c>
      <c r="BC122" s="3">
        <f ca="1">INDIRECT(ADDRESS(122,34))</f>
        <v>147.99354124999999</v>
      </c>
      <c r="BD122" s="4">
        <f ca="1">IFERROR(INDIRECT(ADDRESS(122,34)) / INDIRECT(ADDRESS(124,34)),0)</f>
        <v>1.4299407442421882E-6</v>
      </c>
      <c r="BE122" s="4">
        <f ca="1">IFERROR((INDIRECT(ADDRESS(122,34)) - INDIRECT(ADDRESS(122,3)))/ INDIRECT(ADDRESS(122,3)),1)</f>
        <v>2.0271151787757575E-10</v>
      </c>
    </row>
    <row r="123" spans="1:57" x14ac:dyDescent="0.25">
      <c r="A123" s="5"/>
      <c r="B123" s="1" t="s">
        <v>51</v>
      </c>
      <c r="C123">
        <v>384783.25699999998</v>
      </c>
      <c r="D123">
        <v>384823.85700000002</v>
      </c>
      <c r="E123">
        <v>384130.35700000002</v>
      </c>
      <c r="F123">
        <v>383523.25699999998</v>
      </c>
      <c r="G123">
        <v>382980.75699999998</v>
      </c>
      <c r="H123">
        <v>382502.65700000001</v>
      </c>
      <c r="I123">
        <v>382021.45699999999</v>
      </c>
      <c r="J123">
        <v>381465.25699999998</v>
      </c>
      <c r="K123">
        <v>380945.55699999997</v>
      </c>
      <c r="L123">
        <v>380459.25699999998</v>
      </c>
      <c r="M123">
        <v>379966.85700000002</v>
      </c>
      <c r="N123">
        <v>379468.25699999998</v>
      </c>
      <c r="O123">
        <v>378959.55699999997</v>
      </c>
      <c r="P123">
        <v>378447.95699999999</v>
      </c>
      <c r="Q123">
        <v>377934.75699999998</v>
      </c>
      <c r="R123">
        <v>377419.85700000002</v>
      </c>
      <c r="S123">
        <v>376903.15700000001</v>
      </c>
      <c r="T123">
        <v>376367.05699999997</v>
      </c>
      <c r="U123">
        <v>375829.45699999999</v>
      </c>
      <c r="V123">
        <v>375290.35700000002</v>
      </c>
      <c r="W123">
        <v>374749.65700000001</v>
      </c>
      <c r="X123">
        <v>374207.65700000001</v>
      </c>
      <c r="Y123">
        <v>373569.95699999999</v>
      </c>
      <c r="Z123">
        <v>372930.75699999998</v>
      </c>
      <c r="AA123">
        <v>372290.15700000001</v>
      </c>
      <c r="AB123">
        <v>371654.45699999999</v>
      </c>
      <c r="AC123">
        <v>371024.75699999998</v>
      </c>
      <c r="AD123">
        <v>370267.45699999999</v>
      </c>
      <c r="AE123">
        <v>369516.75699999998</v>
      </c>
      <c r="AF123">
        <v>368767.85700000002</v>
      </c>
      <c r="AG123">
        <v>368019.75699999998</v>
      </c>
      <c r="AH123">
        <v>367271.25699999998</v>
      </c>
      <c r="AK123" s="3" t="str">
        <f ca="1">INDIRECT(ADDRESS(123,2))</f>
        <v>Wood</v>
      </c>
      <c r="AL123" s="3">
        <f ca="1">INDIRECT(ADDRESS(123,3))</f>
        <v>384783.25699999998</v>
      </c>
      <c r="AM123" s="4">
        <f ca="1">IFERROR(INDIRECT(ADDRESS(123,3)) / INDIRECT(ADDRESS(124,3)),0)</f>
        <v>3.6259466248765465E-3</v>
      </c>
      <c r="AN123" s="3">
        <f ca="1">INDIRECT(ADDRESS(123,9))</f>
        <v>382021.45699999999</v>
      </c>
      <c r="AO123" s="4">
        <f ca="1">IFERROR(INDIRECT(ADDRESS(123,9)) / INDIRECT(ADDRESS(124,9)),0)</f>
        <v>3.6556241859957614E-3</v>
      </c>
      <c r="AP123" s="4">
        <f ca="1">IFERROR((INDIRECT(ADDRESS(123,9)) - INDIRECT(ADDRESS(123,3)))/ INDIRECT(ADDRESS(123,3)),1)</f>
        <v>-7.1775472288805658E-3</v>
      </c>
      <c r="AQ123" s="3">
        <f ca="1">INDIRECT(ADDRESS(123,14))</f>
        <v>379468.25699999998</v>
      </c>
      <c r="AR123" s="4">
        <f ca="1">IFERROR(INDIRECT(ADDRESS(123,14)) / INDIRECT(ADDRESS(124,14)),0)</f>
        <v>3.7310806377328916E-3</v>
      </c>
      <c r="AS123" s="4">
        <f ca="1">IFERROR((INDIRECT(ADDRESS(123,14)) - INDIRECT(ADDRESS(123,3)))/ INDIRECT(ADDRESS(123,3)),1)</f>
        <v>-1.3812971077377206E-2</v>
      </c>
      <c r="AT123" s="3">
        <f ca="1">INDIRECT(ADDRESS(123,19))</f>
        <v>376903.15700000001</v>
      </c>
      <c r="AU123" s="4">
        <f ca="1">IFERROR(INDIRECT(ADDRESS(123,19)) / INDIRECT(ADDRESS(124,19)),0)</f>
        <v>3.7058080658512751E-3</v>
      </c>
      <c r="AV123" s="4">
        <f ca="1">IFERROR((INDIRECT(ADDRESS(123,19)) - INDIRECT(ADDRESS(123,3)))/ INDIRECT(ADDRESS(123,3)),1)</f>
        <v>-2.0479321427439284E-2</v>
      </c>
      <c r="AW123" s="3">
        <f ca="1">INDIRECT(ADDRESS(123,24))</f>
        <v>374207.65700000001</v>
      </c>
      <c r="AX123" s="4">
        <f ca="1">IFERROR(INDIRECT(ADDRESS(123,24)) / INDIRECT(ADDRESS(124,24)),0)</f>
        <v>3.6625891379028323E-3</v>
      </c>
      <c r="AY123" s="4">
        <f ca="1">IFERROR((INDIRECT(ADDRESS(123,24)) - INDIRECT(ADDRESS(123,3)))/ INDIRECT(ADDRESS(123,3)),1)</f>
        <v>-2.748456386188336E-2</v>
      </c>
      <c r="AZ123" s="3">
        <f ca="1">INDIRECT(ADDRESS(123,29))</f>
        <v>371024.75699999998</v>
      </c>
      <c r="BA123" s="4">
        <f ca="1">IFERROR(INDIRECT(ADDRESS(123,29)) / INDIRECT(ADDRESS(124,29)),0)</f>
        <v>3.6130741686652566E-3</v>
      </c>
      <c r="BB123" s="4">
        <f ca="1">IFERROR((INDIRECT(ADDRESS(123,29)) - INDIRECT(ADDRESS(123,3)))/ INDIRECT(ADDRESS(123,3)),1)</f>
        <v>-3.5756493427675312E-2</v>
      </c>
      <c r="BC123" s="3">
        <f ca="1">INDIRECT(ADDRESS(123,34))</f>
        <v>367271.25699999998</v>
      </c>
      <c r="BD123" s="4">
        <f ca="1">IFERROR(INDIRECT(ADDRESS(123,34)) / INDIRECT(ADDRESS(124,34)),0)</f>
        <v>3.5486422592333495E-3</v>
      </c>
      <c r="BE123" s="4">
        <f ca="1">IFERROR((INDIRECT(ADDRESS(123,34)) - INDIRECT(ADDRESS(123,3)))/ INDIRECT(ADDRESS(123,3)),1)</f>
        <v>-4.5511335749205947E-2</v>
      </c>
    </row>
    <row r="124" spans="1:57" x14ac:dyDescent="0.25">
      <c r="A124" s="1" t="s">
        <v>21</v>
      </c>
      <c r="B124" s="1"/>
      <c r="C124">
        <v>106119393.58404119</v>
      </c>
      <c r="D124">
        <v>105620672.93764129</v>
      </c>
      <c r="E124">
        <v>105763423.27564131</v>
      </c>
      <c r="F124">
        <v>105711258.6226417</v>
      </c>
      <c r="G124">
        <v>105735398.1496409</v>
      </c>
      <c r="H124">
        <v>105522943.6606413</v>
      </c>
      <c r="I124">
        <v>104502387.9816411</v>
      </c>
      <c r="J124">
        <v>103897888.2486413</v>
      </c>
      <c r="K124">
        <v>103232798.9486412</v>
      </c>
      <c r="L124">
        <v>102575047.5126418</v>
      </c>
      <c r="M124">
        <v>102008999.89464121</v>
      </c>
      <c r="N124">
        <v>101704651.7736415</v>
      </c>
      <c r="O124">
        <v>101552514.67064171</v>
      </c>
      <c r="P124">
        <v>101554188.65164091</v>
      </c>
      <c r="Q124">
        <v>101629616.53164101</v>
      </c>
      <c r="R124">
        <v>101585086.960641</v>
      </c>
      <c r="S124">
        <v>101706065.2636418</v>
      </c>
      <c r="T124">
        <v>101774895.1426415</v>
      </c>
      <c r="U124">
        <v>101841749.65764099</v>
      </c>
      <c r="V124">
        <v>101921334.2006413</v>
      </c>
      <c r="W124">
        <v>102032059.8576414</v>
      </c>
      <c r="X124">
        <v>102170252.4936412</v>
      </c>
      <c r="Y124">
        <v>102279988.0496414</v>
      </c>
      <c r="Z124">
        <v>102380820.7196416</v>
      </c>
      <c r="AA124">
        <v>102476817.39064179</v>
      </c>
      <c r="AB124">
        <v>102577259.72164109</v>
      </c>
      <c r="AC124">
        <v>102689493.6776413</v>
      </c>
      <c r="AD124">
        <v>102809203.2816411</v>
      </c>
      <c r="AE124">
        <v>102951061.1436411</v>
      </c>
      <c r="AF124">
        <v>103116002.4786412</v>
      </c>
      <c r="AG124">
        <v>103301282.3526417</v>
      </c>
      <c r="AH124">
        <v>103496275.5246412</v>
      </c>
    </row>
    <row r="127" spans="1:57" x14ac:dyDescent="0.25">
      <c r="A127" s="1" t="s">
        <v>0</v>
      </c>
      <c r="B127" s="1" t="s">
        <v>20</v>
      </c>
      <c r="C127" s="1"/>
      <c r="D127" s="1" t="s">
        <v>40</v>
      </c>
      <c r="E127" s="1" t="s">
        <v>41</v>
      </c>
      <c r="F127" s="1" t="s">
        <v>42</v>
      </c>
      <c r="G127" s="1" t="s">
        <v>25</v>
      </c>
      <c r="H127" s="1" t="s">
        <v>43</v>
      </c>
      <c r="I127" s="1" t="s">
        <v>44</v>
      </c>
      <c r="J127" s="1" t="s">
        <v>45</v>
      </c>
      <c r="K127" s="1" t="s">
        <v>46</v>
      </c>
      <c r="L127" s="1" t="s">
        <v>47</v>
      </c>
      <c r="M127" s="1" t="s">
        <v>48</v>
      </c>
      <c r="N127" s="1" t="s">
        <v>49</v>
      </c>
      <c r="O127" s="1" t="s">
        <v>50</v>
      </c>
      <c r="P127" s="1" t="s">
        <v>51</v>
      </c>
    </row>
    <row r="128" spans="1:57" x14ac:dyDescent="0.25">
      <c r="A128" s="5" t="s">
        <v>2</v>
      </c>
      <c r="B128" s="5" t="s">
        <v>22</v>
      </c>
      <c r="C128" s="1">
        <v>2019</v>
      </c>
      <c r="K128">
        <v>378606.2</v>
      </c>
      <c r="O128">
        <v>111.65989999999999</v>
      </c>
    </row>
    <row r="129" spans="1:16" x14ac:dyDescent="0.25">
      <c r="A129" s="5"/>
      <c r="B129" s="5"/>
      <c r="C129" s="1">
        <v>2050</v>
      </c>
      <c r="K129">
        <v>9.0266740000000002E-3</v>
      </c>
      <c r="O129">
        <v>498.14980000000003</v>
      </c>
    </row>
    <row r="130" spans="1:16" x14ac:dyDescent="0.25">
      <c r="A130" s="5"/>
      <c r="B130" s="5" t="s">
        <v>23</v>
      </c>
      <c r="C130" s="1">
        <v>2019</v>
      </c>
      <c r="F130">
        <v>3904.6860000000001</v>
      </c>
      <c r="I130">
        <v>4046579</v>
      </c>
      <c r="K130">
        <v>3680473</v>
      </c>
      <c r="N130">
        <v>168647.1</v>
      </c>
      <c r="O130">
        <v>9.7747050000000009</v>
      </c>
    </row>
    <row r="131" spans="1:16" x14ac:dyDescent="0.25">
      <c r="A131" s="5"/>
      <c r="B131" s="5"/>
      <c r="C131" s="1">
        <v>2050</v>
      </c>
      <c r="F131">
        <v>2942.9369999999999</v>
      </c>
      <c r="I131">
        <v>156927.31400000001</v>
      </c>
      <c r="K131">
        <v>2.5265449999999998E-2</v>
      </c>
      <c r="N131">
        <v>81053.710000000006</v>
      </c>
      <c r="O131">
        <v>1091.5070000000001</v>
      </c>
    </row>
    <row r="132" spans="1:16" x14ac:dyDescent="0.25">
      <c r="A132" s="5"/>
      <c r="B132" s="5" t="s">
        <v>24</v>
      </c>
      <c r="C132" s="1">
        <v>2019</v>
      </c>
      <c r="D132">
        <v>8031415</v>
      </c>
      <c r="F132">
        <v>7151.9889999999996</v>
      </c>
      <c r="K132">
        <v>7140349</v>
      </c>
      <c r="M132">
        <v>3801677</v>
      </c>
      <c r="N132">
        <v>329.69909999999999</v>
      </c>
      <c r="O132">
        <v>26.465170000000001</v>
      </c>
      <c r="P132">
        <v>9198.0570000000007</v>
      </c>
    </row>
    <row r="133" spans="1:16" x14ac:dyDescent="0.25">
      <c r="A133" s="5"/>
      <c r="B133" s="5"/>
      <c r="C133" s="1">
        <v>2050</v>
      </c>
      <c r="D133">
        <v>0</v>
      </c>
      <c r="F133">
        <v>0</v>
      </c>
      <c r="K133">
        <v>1.7337700000000001E-2</v>
      </c>
      <c r="M133">
        <v>2765585</v>
      </c>
      <c r="N133">
        <v>112.0759</v>
      </c>
      <c r="O133">
        <v>768.80349999999999</v>
      </c>
      <c r="P133">
        <v>9198.0570000000007</v>
      </c>
    </row>
    <row r="134" spans="1:16" x14ac:dyDescent="0.25">
      <c r="A134" s="5"/>
      <c r="B134" s="5" t="s">
        <v>25</v>
      </c>
      <c r="C134" s="1">
        <v>2019</v>
      </c>
      <c r="G134">
        <v>221100.7</v>
      </c>
    </row>
    <row r="135" spans="1:16" x14ac:dyDescent="0.25">
      <c r="A135" s="5"/>
      <c r="B135" s="5"/>
      <c r="C135" s="1">
        <v>2050</v>
      </c>
      <c r="G135">
        <v>53563.99</v>
      </c>
    </row>
    <row r="136" spans="1:16" x14ac:dyDescent="0.25">
      <c r="A136" s="5"/>
      <c r="B136" s="5" t="s">
        <v>26</v>
      </c>
      <c r="C136" s="1">
        <v>2019</v>
      </c>
      <c r="D136">
        <v>478609.1</v>
      </c>
      <c r="F136">
        <v>6515463</v>
      </c>
      <c r="I136">
        <v>1637439.62</v>
      </c>
      <c r="K136">
        <v>5588565</v>
      </c>
      <c r="L136">
        <v>5790901</v>
      </c>
      <c r="N136">
        <v>269797.7</v>
      </c>
      <c r="O136">
        <v>9.3766219999999997E-2</v>
      </c>
      <c r="P136">
        <v>196151.5</v>
      </c>
    </row>
    <row r="137" spans="1:16" x14ac:dyDescent="0.25">
      <c r="A137" s="5"/>
      <c r="B137" s="5"/>
      <c r="C137" s="1">
        <v>2050</v>
      </c>
      <c r="D137">
        <v>212764.7</v>
      </c>
      <c r="F137">
        <v>1703980</v>
      </c>
      <c r="I137">
        <v>302948.39</v>
      </c>
      <c r="K137">
        <v>4.6827559999999997E-2</v>
      </c>
      <c r="L137">
        <v>5790901</v>
      </c>
      <c r="N137">
        <v>96923.77</v>
      </c>
      <c r="O137">
        <v>2005.126</v>
      </c>
      <c r="P137">
        <v>161653.20000000001</v>
      </c>
    </row>
    <row r="138" spans="1:16" x14ac:dyDescent="0.25">
      <c r="A138" s="5"/>
      <c r="B138" s="5" t="s">
        <v>27</v>
      </c>
      <c r="C138" s="1">
        <v>2019</v>
      </c>
      <c r="F138">
        <v>358395.1</v>
      </c>
      <c r="I138">
        <v>4083313</v>
      </c>
      <c r="K138">
        <v>4838560</v>
      </c>
      <c r="N138">
        <v>284833.40000000002</v>
      </c>
      <c r="O138">
        <v>0</v>
      </c>
      <c r="P138">
        <v>179433.7</v>
      </c>
    </row>
    <row r="139" spans="1:16" x14ac:dyDescent="0.25">
      <c r="A139" s="5"/>
      <c r="B139" s="5"/>
      <c r="C139" s="1">
        <v>2050</v>
      </c>
      <c r="F139">
        <v>653.29949999999997</v>
      </c>
      <c r="I139">
        <v>146178.111</v>
      </c>
      <c r="K139">
        <v>7.4693119999999997E-3</v>
      </c>
      <c r="N139">
        <v>626.13620000000003</v>
      </c>
      <c r="O139">
        <v>319.80919999999998</v>
      </c>
      <c r="P139">
        <v>376.68709999999999</v>
      </c>
    </row>
    <row r="140" spans="1:16" x14ac:dyDescent="0.25">
      <c r="A140" s="5"/>
      <c r="B140" s="5" t="s">
        <v>28</v>
      </c>
      <c r="C140" s="1">
        <v>2019</v>
      </c>
      <c r="E140">
        <v>16213790</v>
      </c>
      <c r="H140">
        <v>24286310</v>
      </c>
      <c r="I140">
        <v>19106.893400000001</v>
      </c>
      <c r="J140">
        <v>7872484</v>
      </c>
      <c r="K140">
        <v>10900.92</v>
      </c>
      <c r="N140">
        <v>5760.2259999999997</v>
      </c>
      <c r="O140">
        <v>0</v>
      </c>
    </row>
    <row r="141" spans="1:16" x14ac:dyDescent="0.25">
      <c r="A141" s="5"/>
      <c r="B141" s="5"/>
      <c r="C141" s="1">
        <v>2050</v>
      </c>
      <c r="E141">
        <v>2489451</v>
      </c>
      <c r="H141">
        <v>40572.46</v>
      </c>
      <c r="I141">
        <v>148695.935</v>
      </c>
      <c r="J141">
        <v>6297988</v>
      </c>
      <c r="K141">
        <v>8720.7330000000002</v>
      </c>
      <c r="N141">
        <v>5760.2259999999997</v>
      </c>
      <c r="O141">
        <v>226426.2</v>
      </c>
    </row>
    <row r="142" spans="1:16" x14ac:dyDescent="0.25">
      <c r="A142" s="5" t="s">
        <v>3</v>
      </c>
      <c r="B142" s="5" t="s">
        <v>22</v>
      </c>
      <c r="C142" s="1">
        <v>2019</v>
      </c>
      <c r="K142">
        <v>378606.2</v>
      </c>
      <c r="O142">
        <v>111.65989999999999</v>
      </c>
    </row>
    <row r="143" spans="1:16" x14ac:dyDescent="0.25">
      <c r="A143" s="5"/>
      <c r="B143" s="5"/>
      <c r="C143" s="1">
        <v>2050</v>
      </c>
      <c r="K143">
        <v>378606.2</v>
      </c>
      <c r="O143">
        <v>111.65989999999999</v>
      </c>
    </row>
    <row r="144" spans="1:16" x14ac:dyDescent="0.25">
      <c r="A144" s="5"/>
      <c r="B144" s="5" t="s">
        <v>23</v>
      </c>
      <c r="C144" s="1">
        <v>2019</v>
      </c>
      <c r="F144">
        <v>3904.6860000000001</v>
      </c>
      <c r="I144">
        <v>4046579</v>
      </c>
      <c r="K144">
        <v>3680473</v>
      </c>
      <c r="N144">
        <v>168647.1</v>
      </c>
      <c r="O144">
        <v>9.7747050000000009</v>
      </c>
    </row>
    <row r="145" spans="1:16" x14ac:dyDescent="0.25">
      <c r="A145" s="5"/>
      <c r="B145" s="5"/>
      <c r="C145" s="1">
        <v>2050</v>
      </c>
      <c r="F145">
        <v>248.65729999999999</v>
      </c>
      <c r="I145">
        <v>218198.52</v>
      </c>
      <c r="K145">
        <v>161687.79999999999</v>
      </c>
      <c r="N145">
        <v>9397.2919999999995</v>
      </c>
      <c r="O145">
        <v>9.7422830000000005</v>
      </c>
    </row>
    <row r="146" spans="1:16" x14ac:dyDescent="0.25">
      <c r="A146" s="5"/>
      <c r="B146" s="5" t="s">
        <v>24</v>
      </c>
      <c r="C146" s="1">
        <v>2019</v>
      </c>
      <c r="D146">
        <v>8031415</v>
      </c>
      <c r="F146">
        <v>7151.9889999999996</v>
      </c>
      <c r="K146">
        <v>7140349</v>
      </c>
      <c r="M146">
        <v>3801677</v>
      </c>
      <c r="N146">
        <v>329.69909999999999</v>
      </c>
      <c r="O146">
        <v>26.465170000000001</v>
      </c>
      <c r="P146">
        <v>9198.0570000000007</v>
      </c>
    </row>
    <row r="147" spans="1:16" x14ac:dyDescent="0.25">
      <c r="A147" s="5"/>
      <c r="B147" s="5"/>
      <c r="C147" s="1">
        <v>2050</v>
      </c>
      <c r="D147">
        <v>0</v>
      </c>
      <c r="F147">
        <v>0</v>
      </c>
      <c r="K147">
        <v>95665.34</v>
      </c>
      <c r="M147">
        <v>3801677</v>
      </c>
      <c r="N147">
        <v>26.375920000000001</v>
      </c>
      <c r="O147">
        <v>26.465170000000001</v>
      </c>
      <c r="P147">
        <v>9198.0570000000007</v>
      </c>
    </row>
    <row r="148" spans="1:16" x14ac:dyDescent="0.25">
      <c r="A148" s="5"/>
      <c r="B148" s="5" t="s">
        <v>25</v>
      </c>
      <c r="C148" s="1">
        <v>2019</v>
      </c>
      <c r="G148">
        <v>221100.7</v>
      </c>
    </row>
    <row r="149" spans="1:16" x14ac:dyDescent="0.25">
      <c r="A149" s="5"/>
      <c r="B149" s="5"/>
      <c r="C149" s="1">
        <v>2050</v>
      </c>
      <c r="G149">
        <v>110713.5</v>
      </c>
    </row>
    <row r="150" spans="1:16" x14ac:dyDescent="0.25">
      <c r="A150" s="5"/>
      <c r="B150" s="5" t="s">
        <v>26</v>
      </c>
      <c r="C150" s="1">
        <v>2019</v>
      </c>
      <c r="D150">
        <v>478609.1</v>
      </c>
      <c r="F150">
        <v>6515463</v>
      </c>
      <c r="I150">
        <v>1637439.62</v>
      </c>
      <c r="K150">
        <v>5588565</v>
      </c>
      <c r="L150">
        <v>5790901</v>
      </c>
      <c r="N150">
        <v>269797.7</v>
      </c>
      <c r="O150">
        <v>9.3766219999999997E-2</v>
      </c>
      <c r="P150">
        <v>196151.5</v>
      </c>
    </row>
    <row r="151" spans="1:16" x14ac:dyDescent="0.25">
      <c r="A151" s="5"/>
      <c r="B151" s="5"/>
      <c r="C151" s="1">
        <v>2050</v>
      </c>
      <c r="D151">
        <v>130097.7</v>
      </c>
      <c r="F151">
        <v>2238102</v>
      </c>
      <c r="I151">
        <v>106693.33199999999</v>
      </c>
      <c r="K151">
        <v>1777442</v>
      </c>
      <c r="L151">
        <v>5790901</v>
      </c>
      <c r="N151">
        <v>96239.360000000001</v>
      </c>
      <c r="O151">
        <v>0.1261883</v>
      </c>
      <c r="P151">
        <v>198693.8</v>
      </c>
    </row>
    <row r="152" spans="1:16" x14ac:dyDescent="0.25">
      <c r="A152" s="5"/>
      <c r="B152" s="5" t="s">
        <v>27</v>
      </c>
      <c r="C152" s="1">
        <v>2019</v>
      </c>
      <c r="F152">
        <v>358395.1</v>
      </c>
      <c r="I152">
        <v>4083313</v>
      </c>
      <c r="K152">
        <v>4838560</v>
      </c>
      <c r="N152">
        <v>284833.40000000002</v>
      </c>
      <c r="P152">
        <v>179433.7</v>
      </c>
    </row>
    <row r="153" spans="1:16" x14ac:dyDescent="0.25">
      <c r="A153" s="5"/>
      <c r="B153" s="5"/>
      <c r="C153" s="1">
        <v>2050</v>
      </c>
      <c r="F153">
        <v>10070.91</v>
      </c>
      <c r="I153">
        <v>241306.6</v>
      </c>
      <c r="K153">
        <v>117736.9</v>
      </c>
      <c r="N153">
        <v>7442.3869999999997</v>
      </c>
      <c r="P153">
        <v>35672.22</v>
      </c>
    </row>
    <row r="154" spans="1:16" x14ac:dyDescent="0.25">
      <c r="A154" s="5"/>
      <c r="B154" s="5" t="s">
        <v>28</v>
      </c>
      <c r="C154" s="1">
        <v>2019</v>
      </c>
      <c r="E154">
        <v>16213790</v>
      </c>
      <c r="H154">
        <v>24286310</v>
      </c>
      <c r="I154">
        <v>19106.893400000001</v>
      </c>
      <c r="J154">
        <v>7872484</v>
      </c>
      <c r="K154">
        <v>10900.92</v>
      </c>
      <c r="N154">
        <v>5760.2259999999997</v>
      </c>
      <c r="O154">
        <v>0</v>
      </c>
    </row>
    <row r="155" spans="1:16" x14ac:dyDescent="0.25">
      <c r="A155" s="5"/>
      <c r="B155" s="5"/>
      <c r="C155" s="1">
        <v>2050</v>
      </c>
      <c r="E155">
        <v>4833335</v>
      </c>
      <c r="H155">
        <v>215622.3</v>
      </c>
      <c r="I155">
        <v>188551.20699999999</v>
      </c>
      <c r="J155">
        <v>6297988</v>
      </c>
      <c r="K155">
        <v>697.65859999999998</v>
      </c>
      <c r="N155">
        <v>460.81810000000002</v>
      </c>
      <c r="O155">
        <v>317.51609999999999</v>
      </c>
    </row>
    <row r="156" spans="1:16" x14ac:dyDescent="0.25">
      <c r="A156" s="5" t="s">
        <v>4</v>
      </c>
      <c r="B156" s="5" t="s">
        <v>22</v>
      </c>
      <c r="C156" s="1">
        <v>2019</v>
      </c>
      <c r="K156">
        <v>378606.2</v>
      </c>
      <c r="O156">
        <v>111.65989999999999</v>
      </c>
    </row>
    <row r="157" spans="1:16" x14ac:dyDescent="0.25">
      <c r="A157" s="5"/>
      <c r="B157" s="5"/>
      <c r="C157" s="1">
        <v>2050</v>
      </c>
      <c r="K157">
        <v>378606.2</v>
      </c>
      <c r="O157">
        <v>111.65989999999999</v>
      </c>
    </row>
    <row r="158" spans="1:16" x14ac:dyDescent="0.25">
      <c r="A158" s="5"/>
      <c r="B158" s="5" t="s">
        <v>23</v>
      </c>
      <c r="C158" s="1">
        <v>2019</v>
      </c>
      <c r="F158">
        <v>3904.6860000000001</v>
      </c>
      <c r="I158">
        <v>4046579</v>
      </c>
      <c r="K158">
        <v>3680473</v>
      </c>
      <c r="N158">
        <v>168647.1</v>
      </c>
      <c r="O158">
        <v>9.7747050000000009</v>
      </c>
    </row>
    <row r="159" spans="1:16" x14ac:dyDescent="0.25">
      <c r="A159" s="5"/>
      <c r="B159" s="5"/>
      <c r="C159" s="1">
        <v>2050</v>
      </c>
      <c r="F159">
        <v>4480.9480000000003</v>
      </c>
      <c r="I159">
        <v>4985211.3</v>
      </c>
      <c r="K159">
        <v>3483139</v>
      </c>
      <c r="N159">
        <v>180859</v>
      </c>
      <c r="O159">
        <v>9.7774260000000002</v>
      </c>
    </row>
    <row r="160" spans="1:16" x14ac:dyDescent="0.25">
      <c r="A160" s="5"/>
      <c r="B160" s="5" t="s">
        <v>24</v>
      </c>
      <c r="C160" s="1">
        <v>2019</v>
      </c>
      <c r="D160">
        <v>8031415</v>
      </c>
      <c r="F160">
        <v>7151.9889999999996</v>
      </c>
      <c r="K160">
        <v>7140349</v>
      </c>
      <c r="M160">
        <v>3801677</v>
      </c>
      <c r="N160">
        <v>329.69909999999999</v>
      </c>
      <c r="O160">
        <v>26.465170000000001</v>
      </c>
      <c r="P160">
        <v>9198.0570000000007</v>
      </c>
    </row>
    <row r="161" spans="1:16" x14ac:dyDescent="0.25">
      <c r="A161" s="5"/>
      <c r="B161" s="5"/>
      <c r="C161" s="1">
        <v>2050</v>
      </c>
      <c r="D161">
        <v>8031415</v>
      </c>
      <c r="F161">
        <v>7151.9889999999996</v>
      </c>
      <c r="K161">
        <v>7140349</v>
      </c>
      <c r="M161">
        <v>3801677</v>
      </c>
      <c r="N161">
        <v>329.69909999999999</v>
      </c>
      <c r="O161">
        <v>26.465170000000001</v>
      </c>
      <c r="P161">
        <v>9198.0570000000007</v>
      </c>
    </row>
    <row r="162" spans="1:16" x14ac:dyDescent="0.25">
      <c r="A162" s="5"/>
      <c r="B162" s="5" t="s">
        <v>25</v>
      </c>
      <c r="C162" s="1">
        <v>2019</v>
      </c>
      <c r="G162">
        <v>221100.7</v>
      </c>
    </row>
    <row r="163" spans="1:16" x14ac:dyDescent="0.25">
      <c r="A163" s="5"/>
      <c r="B163" s="5"/>
      <c r="C163" s="1">
        <v>2050</v>
      </c>
      <c r="G163">
        <v>221213.5</v>
      </c>
    </row>
    <row r="164" spans="1:16" x14ac:dyDescent="0.25">
      <c r="A164" s="5"/>
      <c r="B164" s="5" t="s">
        <v>26</v>
      </c>
      <c r="C164" s="1">
        <v>2019</v>
      </c>
      <c r="D164">
        <v>478609.1</v>
      </c>
      <c r="F164">
        <v>6515463</v>
      </c>
      <c r="I164">
        <v>1637439.62</v>
      </c>
      <c r="K164">
        <v>5588565</v>
      </c>
      <c r="L164">
        <v>5790901</v>
      </c>
      <c r="N164">
        <v>269797.7</v>
      </c>
      <c r="O164">
        <v>9.3766219999999997E-2</v>
      </c>
      <c r="P164">
        <v>196151.5</v>
      </c>
    </row>
    <row r="165" spans="1:16" x14ac:dyDescent="0.25">
      <c r="A165" s="5"/>
      <c r="B165" s="5"/>
      <c r="C165" s="1">
        <v>2050</v>
      </c>
      <c r="D165">
        <v>482669.2</v>
      </c>
      <c r="F165">
        <v>6711130</v>
      </c>
      <c r="I165">
        <v>1851910.98</v>
      </c>
      <c r="K165">
        <v>5707719</v>
      </c>
      <c r="L165">
        <v>5790901</v>
      </c>
      <c r="N165">
        <v>278839.90000000002</v>
      </c>
      <c r="O165">
        <v>9.1045249999999994E-2</v>
      </c>
      <c r="P165">
        <v>198693.8</v>
      </c>
    </row>
    <row r="166" spans="1:16" x14ac:dyDescent="0.25">
      <c r="A166" s="5"/>
      <c r="B166" s="5" t="s">
        <v>27</v>
      </c>
      <c r="C166" s="1">
        <v>2019</v>
      </c>
      <c r="F166">
        <v>358395.1</v>
      </c>
      <c r="I166">
        <v>4083313</v>
      </c>
      <c r="K166">
        <v>4838560</v>
      </c>
      <c r="N166">
        <v>284833.40000000002</v>
      </c>
      <c r="P166">
        <v>179433.7</v>
      </c>
    </row>
    <row r="167" spans="1:16" x14ac:dyDescent="0.25">
      <c r="A167" s="5"/>
      <c r="B167" s="5"/>
      <c r="C167" s="1">
        <v>2050</v>
      </c>
      <c r="F167">
        <v>353442.1</v>
      </c>
      <c r="I167">
        <v>5029574.2</v>
      </c>
      <c r="K167">
        <v>4927836</v>
      </c>
      <c r="N167">
        <v>294588.09999999998</v>
      </c>
      <c r="P167">
        <v>159379.4</v>
      </c>
    </row>
    <row r="168" spans="1:16" x14ac:dyDescent="0.25">
      <c r="A168" s="5"/>
      <c r="B168" s="5" t="s">
        <v>28</v>
      </c>
      <c r="C168" s="1">
        <v>2019</v>
      </c>
      <c r="E168">
        <v>16213790</v>
      </c>
      <c r="H168">
        <v>24286310</v>
      </c>
      <c r="I168">
        <v>19106.893400000001</v>
      </c>
      <c r="J168">
        <v>7872484</v>
      </c>
      <c r="K168">
        <v>10900.92</v>
      </c>
      <c r="N168">
        <v>5760.2259999999997</v>
      </c>
    </row>
    <row r="169" spans="1:16" x14ac:dyDescent="0.25">
      <c r="A169" s="5"/>
      <c r="B169" s="5"/>
      <c r="C169" s="1">
        <v>2050</v>
      </c>
      <c r="E169">
        <v>15417470</v>
      </c>
      <c r="H169">
        <v>20078370</v>
      </c>
      <c r="I169">
        <v>80828.011999999988</v>
      </c>
      <c r="J169">
        <v>7872484</v>
      </c>
      <c r="K169">
        <v>10900.92</v>
      </c>
      <c r="N169">
        <v>5760.2259999999997</v>
      </c>
    </row>
    <row r="170" spans="1:16" x14ac:dyDescent="0.25">
      <c r="A170" s="5" t="s">
        <v>5</v>
      </c>
      <c r="B170" s="5" t="s">
        <v>22</v>
      </c>
      <c r="C170" s="1">
        <v>2019</v>
      </c>
      <c r="I170">
        <v>0</v>
      </c>
      <c r="K170">
        <v>378606.2</v>
      </c>
      <c r="O170">
        <v>111.65989999999999</v>
      </c>
    </row>
    <row r="171" spans="1:16" x14ac:dyDescent="0.25">
      <c r="A171" s="5"/>
      <c r="B171" s="5"/>
      <c r="C171" s="1">
        <v>2050</v>
      </c>
      <c r="I171">
        <v>6053.3845999999994</v>
      </c>
      <c r="K171">
        <v>179977.60000000001</v>
      </c>
      <c r="O171">
        <v>111.65989999999999</v>
      </c>
    </row>
    <row r="172" spans="1:16" x14ac:dyDescent="0.25">
      <c r="A172" s="5"/>
      <c r="B172" s="5" t="s">
        <v>23</v>
      </c>
      <c r="C172" s="1">
        <v>2019</v>
      </c>
      <c r="F172">
        <v>3904.6860000000001</v>
      </c>
      <c r="I172">
        <v>4046579</v>
      </c>
      <c r="K172">
        <v>3680473</v>
      </c>
      <c r="N172">
        <v>168647.1</v>
      </c>
      <c r="O172">
        <v>9.7747050000000009</v>
      </c>
    </row>
    <row r="173" spans="1:16" x14ac:dyDescent="0.25">
      <c r="A173" s="5"/>
      <c r="B173" s="5"/>
      <c r="C173" s="1">
        <v>2050</v>
      </c>
      <c r="F173">
        <v>2881.1080000000002</v>
      </c>
      <c r="I173">
        <v>135307.20600000001</v>
      </c>
      <c r="K173">
        <v>669620.1</v>
      </c>
      <c r="N173">
        <v>78184.42</v>
      </c>
      <c r="O173">
        <v>9.6794729999999998</v>
      </c>
    </row>
    <row r="174" spans="1:16" x14ac:dyDescent="0.25">
      <c r="A174" s="5"/>
      <c r="B174" s="5" t="s">
        <v>24</v>
      </c>
      <c r="C174" s="1">
        <v>2019</v>
      </c>
      <c r="D174">
        <v>8031415</v>
      </c>
      <c r="F174">
        <v>7151.9889999999996</v>
      </c>
      <c r="I174">
        <v>0</v>
      </c>
      <c r="K174">
        <v>7140349</v>
      </c>
      <c r="M174">
        <v>3801677</v>
      </c>
      <c r="N174">
        <v>329.69909999999999</v>
      </c>
      <c r="O174">
        <v>26.465170000000001</v>
      </c>
      <c r="P174">
        <v>9198.0570000000007</v>
      </c>
    </row>
    <row r="175" spans="1:16" x14ac:dyDescent="0.25">
      <c r="A175" s="5"/>
      <c r="B175" s="5"/>
      <c r="C175" s="1">
        <v>2050</v>
      </c>
      <c r="D175">
        <v>0</v>
      </c>
      <c r="F175">
        <v>0</v>
      </c>
      <c r="I175">
        <v>15905.6926</v>
      </c>
      <c r="K175">
        <v>477296.4</v>
      </c>
      <c r="M175">
        <v>2765585</v>
      </c>
      <c r="N175">
        <v>141.7518</v>
      </c>
      <c r="O175">
        <v>26.465170000000001</v>
      </c>
      <c r="P175">
        <v>9198.0570000000007</v>
      </c>
    </row>
    <row r="176" spans="1:16" x14ac:dyDescent="0.25">
      <c r="A176" s="5"/>
      <c r="B176" s="5" t="s">
        <v>25</v>
      </c>
      <c r="C176" s="1">
        <v>2019</v>
      </c>
      <c r="G176">
        <v>221100.7</v>
      </c>
    </row>
    <row r="177" spans="1:16" x14ac:dyDescent="0.25">
      <c r="A177" s="5"/>
      <c r="B177" s="5"/>
      <c r="C177" s="1">
        <v>2050</v>
      </c>
      <c r="G177">
        <v>40845.61</v>
      </c>
    </row>
    <row r="178" spans="1:16" x14ac:dyDescent="0.25">
      <c r="A178" s="5"/>
      <c r="B178" s="5" t="s">
        <v>26</v>
      </c>
      <c r="C178" s="1">
        <v>2019</v>
      </c>
      <c r="D178">
        <v>478609.1</v>
      </c>
      <c r="F178">
        <v>6515463</v>
      </c>
      <c r="I178">
        <v>1637439.62</v>
      </c>
      <c r="K178">
        <v>5588565</v>
      </c>
      <c r="L178">
        <v>5790901</v>
      </c>
      <c r="N178">
        <v>269797.7</v>
      </c>
      <c r="O178">
        <v>9.3766219999999997E-2</v>
      </c>
      <c r="P178">
        <v>196151.5</v>
      </c>
    </row>
    <row r="179" spans="1:16" x14ac:dyDescent="0.25">
      <c r="A179" s="5"/>
      <c r="B179" s="5"/>
      <c r="C179" s="1">
        <v>2050</v>
      </c>
      <c r="D179">
        <v>383073.8</v>
      </c>
      <c r="F179">
        <v>2416197</v>
      </c>
      <c r="I179">
        <v>194458.18</v>
      </c>
      <c r="K179">
        <v>2459787</v>
      </c>
      <c r="L179">
        <v>5790901</v>
      </c>
      <c r="N179">
        <v>121463.3</v>
      </c>
      <c r="O179">
        <v>0.18899869999999999</v>
      </c>
      <c r="P179">
        <v>161653.20000000001</v>
      </c>
    </row>
    <row r="180" spans="1:16" x14ac:dyDescent="0.25">
      <c r="A180" s="5"/>
      <c r="B180" s="5" t="s">
        <v>27</v>
      </c>
      <c r="C180" s="1">
        <v>2019</v>
      </c>
      <c r="F180">
        <v>358395.1</v>
      </c>
      <c r="I180">
        <v>4083313</v>
      </c>
      <c r="K180">
        <v>4838560</v>
      </c>
      <c r="N180">
        <v>284833.40000000002</v>
      </c>
      <c r="P180">
        <v>179433.7</v>
      </c>
    </row>
    <row r="181" spans="1:16" x14ac:dyDescent="0.25">
      <c r="A181" s="5"/>
      <c r="B181" s="5"/>
      <c r="C181" s="1">
        <v>2050</v>
      </c>
      <c r="F181">
        <v>656.29989999999998</v>
      </c>
      <c r="I181">
        <v>131501.68700000001</v>
      </c>
      <c r="K181">
        <v>100294.7</v>
      </c>
      <c r="N181">
        <v>628.74080000000004</v>
      </c>
      <c r="P181">
        <v>378.56549999999999</v>
      </c>
    </row>
    <row r="182" spans="1:16" x14ac:dyDescent="0.25">
      <c r="A182" s="5"/>
      <c r="B182" s="5" t="s">
        <v>28</v>
      </c>
      <c r="C182" s="1">
        <v>2019</v>
      </c>
      <c r="E182">
        <v>16213790</v>
      </c>
      <c r="H182">
        <v>24286310</v>
      </c>
      <c r="I182">
        <v>19106.893400000001</v>
      </c>
      <c r="J182">
        <v>7872484</v>
      </c>
      <c r="K182">
        <v>10900.92</v>
      </c>
      <c r="N182">
        <v>5760.2259999999997</v>
      </c>
      <c r="O182">
        <v>0</v>
      </c>
    </row>
    <row r="183" spans="1:16" x14ac:dyDescent="0.25">
      <c r="A183" s="5"/>
      <c r="B183" s="5"/>
      <c r="C183" s="1">
        <v>2050</v>
      </c>
      <c r="E183">
        <v>2489451</v>
      </c>
      <c r="H183">
        <v>40572.46</v>
      </c>
      <c r="I183">
        <v>271520.76</v>
      </c>
      <c r="J183">
        <v>6297988</v>
      </c>
      <c r="K183">
        <v>8720.7330000000002</v>
      </c>
      <c r="N183">
        <v>5760.2259999999997</v>
      </c>
      <c r="O183">
        <v>317.51609999999999</v>
      </c>
    </row>
    <row r="184" spans="1:16" x14ac:dyDescent="0.25">
      <c r="A184" s="5" t="s">
        <v>6</v>
      </c>
      <c r="B184" s="5" t="s">
        <v>22</v>
      </c>
      <c r="C184" s="1">
        <v>2019</v>
      </c>
      <c r="K184">
        <v>378606.2</v>
      </c>
      <c r="O184">
        <v>111.65989999999999</v>
      </c>
    </row>
    <row r="185" spans="1:16" x14ac:dyDescent="0.25">
      <c r="A185" s="5"/>
      <c r="B185" s="5"/>
      <c r="C185" s="1">
        <v>2050</v>
      </c>
      <c r="K185">
        <v>9.0266740000000002E-3</v>
      </c>
      <c r="O185">
        <v>498.14980000000003</v>
      </c>
    </row>
    <row r="186" spans="1:16" x14ac:dyDescent="0.25">
      <c r="A186" s="5"/>
      <c r="B186" s="5" t="s">
        <v>23</v>
      </c>
      <c r="C186" s="1">
        <v>2019</v>
      </c>
      <c r="F186">
        <v>3904.6860000000001</v>
      </c>
      <c r="I186">
        <v>4046579</v>
      </c>
      <c r="K186">
        <v>3680473</v>
      </c>
      <c r="N186">
        <v>168647.1</v>
      </c>
      <c r="O186">
        <v>9.7747050000000009</v>
      </c>
    </row>
    <row r="187" spans="1:16" x14ac:dyDescent="0.25">
      <c r="A187" s="5"/>
      <c r="B187" s="5"/>
      <c r="C187" s="1">
        <v>2050</v>
      </c>
      <c r="F187">
        <v>2890.5529999999999</v>
      </c>
      <c r="I187">
        <v>128970.89200000001</v>
      </c>
      <c r="K187">
        <v>1.6017320000000002E-2</v>
      </c>
      <c r="N187">
        <v>78440.72</v>
      </c>
      <c r="O187">
        <v>695.51570000000004</v>
      </c>
    </row>
    <row r="188" spans="1:16" x14ac:dyDescent="0.25">
      <c r="A188" s="5"/>
      <c r="B188" s="5" t="s">
        <v>24</v>
      </c>
      <c r="C188" s="1">
        <v>2019</v>
      </c>
      <c r="D188">
        <v>8031415</v>
      </c>
      <c r="F188">
        <v>7151.9889999999996</v>
      </c>
      <c r="K188">
        <v>7140349</v>
      </c>
      <c r="M188">
        <v>3801677</v>
      </c>
      <c r="N188">
        <v>329.69909999999999</v>
      </c>
      <c r="O188">
        <v>26.465170000000001</v>
      </c>
      <c r="P188">
        <v>9198.0570000000007</v>
      </c>
    </row>
    <row r="189" spans="1:16" x14ac:dyDescent="0.25">
      <c r="A189" s="5"/>
      <c r="B189" s="5"/>
      <c r="C189" s="1">
        <v>2050</v>
      </c>
      <c r="D189">
        <v>0</v>
      </c>
      <c r="F189">
        <v>0</v>
      </c>
      <c r="K189">
        <v>1.7337700000000001E-2</v>
      </c>
      <c r="M189">
        <v>2765585</v>
      </c>
      <c r="N189">
        <v>112.0759</v>
      </c>
      <c r="O189">
        <v>768.80349999999999</v>
      </c>
      <c r="P189">
        <v>9198.0570000000007</v>
      </c>
    </row>
    <row r="190" spans="1:16" x14ac:dyDescent="0.25">
      <c r="A190" s="5"/>
      <c r="B190" s="5" t="s">
        <v>25</v>
      </c>
      <c r="C190" s="1">
        <v>2019</v>
      </c>
      <c r="G190">
        <v>221100.7</v>
      </c>
    </row>
    <row r="191" spans="1:16" x14ac:dyDescent="0.25">
      <c r="A191" s="5"/>
      <c r="B191" s="5"/>
      <c r="C191" s="1">
        <v>2050</v>
      </c>
      <c r="G191">
        <v>48338.52</v>
      </c>
    </row>
    <row r="192" spans="1:16" x14ac:dyDescent="0.25">
      <c r="A192" s="5"/>
      <c r="B192" s="5" t="s">
        <v>26</v>
      </c>
      <c r="C192" s="1">
        <v>2019</v>
      </c>
      <c r="D192">
        <v>478609.1</v>
      </c>
      <c r="F192">
        <v>6515463</v>
      </c>
      <c r="I192">
        <v>1637439.62</v>
      </c>
      <c r="K192">
        <v>5588565</v>
      </c>
      <c r="L192">
        <v>5790901</v>
      </c>
      <c r="N192">
        <v>269797.7</v>
      </c>
      <c r="O192">
        <v>9.3766219999999997E-2</v>
      </c>
      <c r="P192">
        <v>196151.5</v>
      </c>
    </row>
    <row r="193" spans="1:16" x14ac:dyDescent="0.25">
      <c r="A193" s="5"/>
      <c r="B193" s="5"/>
      <c r="C193" s="1">
        <v>2050</v>
      </c>
      <c r="D193">
        <v>212764.7</v>
      </c>
      <c r="F193">
        <v>1703985</v>
      </c>
      <c r="I193">
        <v>325887.09000000003</v>
      </c>
      <c r="K193">
        <v>4.6729220000000002E-2</v>
      </c>
      <c r="L193">
        <v>5790901</v>
      </c>
      <c r="N193">
        <v>97046.44</v>
      </c>
      <c r="O193">
        <v>2000.9349999999999</v>
      </c>
      <c r="P193">
        <v>161653.20000000001</v>
      </c>
    </row>
    <row r="194" spans="1:16" x14ac:dyDescent="0.25">
      <c r="A194" s="5"/>
      <c r="B194" s="5" t="s">
        <v>27</v>
      </c>
      <c r="C194" s="1">
        <v>2019</v>
      </c>
      <c r="F194">
        <v>358395.1</v>
      </c>
      <c r="I194">
        <v>4083313</v>
      </c>
      <c r="K194">
        <v>4838560</v>
      </c>
      <c r="N194">
        <v>284833.40000000002</v>
      </c>
      <c r="O194">
        <v>0</v>
      </c>
      <c r="P194">
        <v>179433.7</v>
      </c>
    </row>
    <row r="195" spans="1:16" x14ac:dyDescent="0.25">
      <c r="A195" s="5"/>
      <c r="B195" s="5"/>
      <c r="C195" s="1">
        <v>2050</v>
      </c>
      <c r="F195">
        <v>656.29989999999998</v>
      </c>
      <c r="I195">
        <v>125152.292</v>
      </c>
      <c r="K195">
        <v>2.3912120000000002E-3</v>
      </c>
      <c r="N195">
        <v>628.74080000000004</v>
      </c>
      <c r="O195">
        <v>102.3831</v>
      </c>
      <c r="P195">
        <v>378.56549999999999</v>
      </c>
    </row>
    <row r="196" spans="1:16" x14ac:dyDescent="0.25">
      <c r="A196" s="5"/>
      <c r="B196" s="5" t="s">
        <v>28</v>
      </c>
      <c r="C196" s="1">
        <v>2019</v>
      </c>
      <c r="E196">
        <v>16213790</v>
      </c>
      <c r="H196">
        <v>24286310</v>
      </c>
      <c r="I196">
        <v>19106.893400000001</v>
      </c>
      <c r="J196">
        <v>7872484</v>
      </c>
      <c r="K196">
        <v>10900.92</v>
      </c>
      <c r="N196">
        <v>5760.2259999999997</v>
      </c>
      <c r="O196">
        <v>0</v>
      </c>
    </row>
    <row r="197" spans="1:16" x14ac:dyDescent="0.25">
      <c r="A197" s="5"/>
      <c r="B197" s="5"/>
      <c r="C197" s="1">
        <v>2050</v>
      </c>
      <c r="E197">
        <v>2489451</v>
      </c>
      <c r="H197">
        <v>40572.46</v>
      </c>
      <c r="I197">
        <v>174735.24900000001</v>
      </c>
      <c r="J197">
        <v>6297988</v>
      </c>
      <c r="K197">
        <v>8720.7330000000002</v>
      </c>
      <c r="N197">
        <v>5760.2259999999997</v>
      </c>
      <c r="O197">
        <v>226426.2</v>
      </c>
    </row>
  </sheetData>
  <mergeCells count="50">
    <mergeCell ref="B188:B189"/>
    <mergeCell ref="B190:B191"/>
    <mergeCell ref="B192:B193"/>
    <mergeCell ref="B194:B195"/>
    <mergeCell ref="B196:B197"/>
    <mergeCell ref="B178:B179"/>
    <mergeCell ref="B180:B181"/>
    <mergeCell ref="B182:B183"/>
    <mergeCell ref="B184:B185"/>
    <mergeCell ref="B186:B187"/>
    <mergeCell ref="B168:B169"/>
    <mergeCell ref="B170:B171"/>
    <mergeCell ref="B172:B173"/>
    <mergeCell ref="B174:B175"/>
    <mergeCell ref="B176:B177"/>
    <mergeCell ref="B158:B159"/>
    <mergeCell ref="B160:B161"/>
    <mergeCell ref="B162:B163"/>
    <mergeCell ref="B164:B165"/>
    <mergeCell ref="B166:B167"/>
    <mergeCell ref="B148:B149"/>
    <mergeCell ref="B150:B151"/>
    <mergeCell ref="B152:B153"/>
    <mergeCell ref="B154:B155"/>
    <mergeCell ref="B156:B157"/>
    <mergeCell ref="B138:B139"/>
    <mergeCell ref="B140:B141"/>
    <mergeCell ref="B142:B143"/>
    <mergeCell ref="B144:B145"/>
    <mergeCell ref="B146:B147"/>
    <mergeCell ref="B128:B129"/>
    <mergeCell ref="B130:B131"/>
    <mergeCell ref="B132:B133"/>
    <mergeCell ref="B134:B135"/>
    <mergeCell ref="B136:B137"/>
    <mergeCell ref="A128:A141"/>
    <mergeCell ref="A142:A155"/>
    <mergeCell ref="A156:A169"/>
    <mergeCell ref="A170:A183"/>
    <mergeCell ref="A184:A197"/>
    <mergeCell ref="A55:A67"/>
    <mergeCell ref="A69:A81"/>
    <mergeCell ref="A83:A95"/>
    <mergeCell ref="A97:A109"/>
    <mergeCell ref="A111:A123"/>
    <mergeCell ref="A12:A18"/>
    <mergeCell ref="A20:A26"/>
    <mergeCell ref="A28:A34"/>
    <mergeCell ref="A36:A42"/>
    <mergeCell ref="A44:A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 Emissions Charts</vt:lpstr>
      <vt:lpstr>Per Capita Emissions Charts</vt:lpstr>
      <vt:lpstr>Total Energy Charts</vt:lpstr>
      <vt:lpstr>Per Capita Energy Charts</vt:lpstr>
      <vt:lpstr>Demographics Charts</vt:lpstr>
      <vt:lpstr>Transportation Energy Charts</vt:lpstr>
      <vt:lpstr>Transportation Emissions Charts</vt:lpstr>
      <vt:lpstr>Emission Reudction Wedges Chart</vt:lpstr>
      <vt:lpstr>Total Emissions</vt:lpstr>
      <vt:lpstr>Per Capita Emissions</vt:lpstr>
      <vt:lpstr>Total Energy</vt:lpstr>
      <vt:lpstr>Per Capita Energy</vt:lpstr>
      <vt:lpstr>Demographics</vt:lpstr>
      <vt:lpstr>Transportation Energy</vt:lpstr>
      <vt:lpstr>Transportation Emissions</vt:lpstr>
      <vt:lpstr>Emission Reudction Wedges</vt:lpstr>
      <vt:lpstr>Meta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Chris</cp:lastModifiedBy>
  <dcterms:created xsi:type="dcterms:W3CDTF">2022-12-19T23:01:08Z</dcterms:created>
  <dcterms:modified xsi:type="dcterms:W3CDTF">2023-01-19T22:03:44Z</dcterms:modified>
</cp:coreProperties>
</file>