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deferia215\Desktop\Projects with Danny\"/>
    </mc:Choice>
  </mc:AlternateContent>
  <bookViews>
    <workbookView xWindow="-12" yWindow="4776" windowWidth="9636" windowHeight="5652"/>
  </bookViews>
  <sheets>
    <sheet name="LG Public 2018 V5.2c" sheetId="5" r:id="rId1"/>
    <sheet name="Instructions" sheetId="3" r:id="rId2"/>
  </sheets>
  <externalReferences>
    <externalReference r:id="rId3"/>
  </externalReferences>
  <definedNames>
    <definedName name="Debt_Rate" localSheetId="0">'LG Public 2018 V5.2c'!$K$27</definedName>
    <definedName name="debtP" localSheetId="0">'LG Public 2018 V5.2c'!$I$27</definedName>
    <definedName name="Equity_percent" localSheetId="0">'LG Public 2018 V5.2c'!$S$57</definedName>
    <definedName name="equityP" localSheetId="0">'LG Public 2018 V5.2c'!$I$26</definedName>
    <definedName name="expenses" localSheetId="0">'LG Public 2018 V5.2c'!$I$8</definedName>
    <definedName name="INPUT" localSheetId="0">'LG Public 2018 V5.2c'!#REF!</definedName>
    <definedName name="INPUT">#REF!</definedName>
    <definedName name="INPUTc">#REF!</definedName>
    <definedName name="Investment" localSheetId="0">'LG Public 2018 V5.2c'!$J$28</definedName>
    <definedName name="Pfd_weighted" localSheetId="0">'LG Public 2018 V5.2c'!$U$56</definedName>
    <definedName name="_xlnm.Print_Area" localSheetId="0">'LG Public 2018 V5.2c'!$F$2:$N$49</definedName>
    <definedName name="Print_Area_MI" localSheetId="0">#REF!</definedName>
    <definedName name="Print_Area_MI">#REF!</definedName>
    <definedName name="Print_Area_MIc">#REF!</definedName>
    <definedName name="regDebt_weighted" localSheetId="0">'LG Public 2018 V5.2c'!$U$55</definedName>
    <definedName name="Revenue" localSheetId="0">'LG Public 2018 V5.2c'!$I$7</definedName>
    <definedName name="slope" localSheetId="0">'LG Public 2018 V5.2c'!$Y$57</definedName>
    <definedName name="slope">'[1]LG Nonpublic 2018 V5.0'!$X$58</definedName>
    <definedName name="taxrate" localSheetId="0">'LG Public 2018 V5.2c'!$J$38</definedName>
    <definedName name="y_inter1" localSheetId="0">'LG Public 2018 V5.2c'!$X$54</definedName>
    <definedName name="y_inter1">'[1]LG Nonpublic 2018 V5.0'!$W$55</definedName>
    <definedName name="y_inter2" localSheetId="0">'LG Public 2018 V5.2c'!$X$55</definedName>
    <definedName name="y_inter2">'[1]LG Nonpublic 2018 V5.0'!$W$56</definedName>
    <definedName name="y_inter3" localSheetId="0">'LG Public 2018 V5.2c'!$Z$54</definedName>
    <definedName name="y_inter3">'[1]LG Nonpublic 2018 V5.0'!$Y$55</definedName>
    <definedName name="y_inter4" localSheetId="0">'LG Public 2018 V5.2c'!$Z$55</definedName>
    <definedName name="y_inter4">'[1]LG Nonpublic 2018 V5.0'!$Y$56</definedName>
  </definedNames>
  <calcPr calcId="152511" iterate="1"/>
</workbook>
</file>

<file path=xl/calcChain.xml><?xml version="1.0" encoding="utf-8"?>
<calcChain xmlns="http://schemas.openxmlformats.org/spreadsheetml/2006/main">
  <c r="S58" i="5" l="1"/>
  <c r="U56" i="5"/>
  <c r="U55" i="5"/>
  <c r="V39" i="5" s="1"/>
  <c r="J46" i="5"/>
  <c r="J45" i="5"/>
  <c r="J44" i="5"/>
  <c r="J43" i="5"/>
  <c r="K38" i="5"/>
  <c r="Z67" i="5" s="1"/>
  <c r="J38" i="5"/>
  <c r="Y67" i="5" s="1"/>
  <c r="V34" i="5"/>
  <c r="V33" i="5"/>
  <c r="V29" i="5"/>
  <c r="V28" i="5"/>
  <c r="J28" i="5"/>
  <c r="K27" i="5"/>
  <c r="I27" i="5"/>
  <c r="V23" i="5"/>
  <c r="V22" i="5"/>
  <c r="V18" i="5"/>
  <c r="V17" i="5"/>
  <c r="V13" i="5"/>
  <c r="V12" i="5"/>
  <c r="V8" i="5"/>
  <c r="I8" i="5"/>
  <c r="K8" i="5" s="1"/>
  <c r="F8" i="5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I7" i="5"/>
  <c r="Y6" i="5"/>
  <c r="Y7" i="5" s="1"/>
  <c r="Y8" i="5" s="1"/>
  <c r="Y9" i="5" s="1"/>
  <c r="Y11" i="5" s="1"/>
  <c r="Y12" i="5" s="1"/>
  <c r="Y13" i="5" s="1"/>
  <c r="Y14" i="5" s="1"/>
  <c r="Y16" i="5" s="1"/>
  <c r="Y17" i="5" s="1"/>
  <c r="Y18" i="5" s="1"/>
  <c r="Y19" i="5" s="1"/>
  <c r="Y21" i="5" s="1"/>
  <c r="Y22" i="5" s="1"/>
  <c r="Y23" i="5" s="1"/>
  <c r="Y24" i="5" s="1"/>
  <c r="Y26" i="5" s="1"/>
  <c r="Y27" i="5" s="1"/>
  <c r="Y28" i="5" s="1"/>
  <c r="Y29" i="5" s="1"/>
  <c r="Y31" i="5" s="1"/>
  <c r="Y32" i="5" s="1"/>
  <c r="Y33" i="5" s="1"/>
  <c r="Y34" i="5" s="1"/>
  <c r="Y36" i="5" s="1"/>
  <c r="Y37" i="5" s="1"/>
  <c r="Y38" i="5" s="1"/>
  <c r="Y39" i="5" s="1"/>
  <c r="V6" i="5"/>
  <c r="V7" i="5" l="1"/>
  <c r="V9" i="5"/>
  <c r="V14" i="5"/>
  <c r="V19" i="5"/>
  <c r="V24" i="5"/>
  <c r="V27" i="5"/>
  <c r="V31" i="5"/>
  <c r="V36" i="5"/>
  <c r="V38" i="5"/>
  <c r="V11" i="5"/>
  <c r="V16" i="5"/>
  <c r="V21" i="5"/>
  <c r="V26" i="5"/>
  <c r="V32" i="5"/>
  <c r="V37" i="5"/>
  <c r="S9" i="5"/>
  <c r="T9" i="5" s="1"/>
  <c r="U9" i="5" s="1"/>
  <c r="W9" i="5" s="1"/>
  <c r="X9" i="5" s="1"/>
  <c r="Z9" i="5" s="1"/>
  <c r="L27" i="5"/>
  <c r="AC18" i="5"/>
  <c r="S6" i="5"/>
  <c r="T6" i="5" s="1"/>
  <c r="AC12" i="5"/>
  <c r="AC16" i="5"/>
  <c r="AC26" i="5"/>
  <c r="AC9" i="5"/>
  <c r="AC19" i="5"/>
  <c r="AC23" i="5"/>
  <c r="AC28" i="5"/>
  <c r="AC32" i="5"/>
  <c r="S7" i="5"/>
  <c r="I9" i="5"/>
  <c r="AC29" i="5"/>
  <c r="AC11" i="5"/>
  <c r="J19" i="5"/>
  <c r="AC24" i="5"/>
  <c r="AC33" i="5"/>
  <c r="S8" i="5"/>
  <c r="T8" i="5" s="1"/>
  <c r="U8" i="5" s="1"/>
  <c r="W8" i="5" s="1"/>
  <c r="X8" i="5" s="1"/>
  <c r="Z8" i="5" s="1"/>
  <c r="AC14" i="5"/>
  <c r="AC17" i="5"/>
  <c r="AC39" i="5"/>
  <c r="AC38" i="5"/>
  <c r="AC36" i="5"/>
  <c r="J27" i="5"/>
  <c r="M27" i="5" s="1"/>
  <c r="K11" i="5" s="1"/>
  <c r="AC34" i="5"/>
  <c r="AC27" i="5"/>
  <c r="AC21" i="5"/>
  <c r="AC37" i="5"/>
  <c r="J47" i="5"/>
  <c r="AC6" i="5"/>
  <c r="AC7" i="5"/>
  <c r="I16" i="5"/>
  <c r="AC8" i="5"/>
  <c r="AC13" i="5"/>
  <c r="AC22" i="5"/>
  <c r="I26" i="5"/>
  <c r="AC31" i="5"/>
  <c r="U6" i="5" l="1"/>
  <c r="W6" i="5" s="1"/>
  <c r="X6" i="5" s="1"/>
  <c r="Z6" i="5" s="1"/>
  <c r="AA6" i="5" s="1"/>
  <c r="AB6" i="5" s="1"/>
  <c r="AD6" i="5" s="1"/>
  <c r="AE6" i="5" s="1"/>
  <c r="AF6" i="5" s="1"/>
  <c r="AG6" i="5" s="1"/>
  <c r="AH6" i="5" s="1"/>
  <c r="AA8" i="5"/>
  <c r="AB8" i="5" s="1"/>
  <c r="AD8" i="5" s="1"/>
  <c r="AE8" i="5" s="1"/>
  <c r="AF8" i="5" s="1"/>
  <c r="AG8" i="5" s="1"/>
  <c r="AH8" i="5" s="1"/>
  <c r="T7" i="5"/>
  <c r="U7" i="5"/>
  <c r="W7" i="5" s="1"/>
  <c r="X7" i="5" s="1"/>
  <c r="Z7" i="5" s="1"/>
  <c r="AA7" i="5" s="1"/>
  <c r="AB7" i="5" s="1"/>
  <c r="AD7" i="5" s="1"/>
  <c r="AE7" i="5" s="1"/>
  <c r="AF7" i="5" s="1"/>
  <c r="AG7" i="5" s="1"/>
  <c r="AH7" i="5" s="1"/>
  <c r="M11" i="5"/>
  <c r="I11" i="5"/>
  <c r="I28" i="5"/>
  <c r="J26" i="5"/>
  <c r="AA9" i="5"/>
  <c r="AB9" i="5" s="1"/>
  <c r="AD9" i="5" s="1"/>
  <c r="AE9" i="5" s="1"/>
  <c r="AF9" i="5" s="1"/>
  <c r="AG9" i="5" s="1"/>
  <c r="AH9" i="5" s="1"/>
  <c r="AI6" i="5"/>
  <c r="AJ6" i="5"/>
  <c r="AK6" i="5"/>
  <c r="J7" i="5"/>
  <c r="K7" i="5"/>
  <c r="L7" i="5"/>
  <c r="M7" i="5"/>
  <c r="AI7" i="5"/>
  <c r="AJ7" i="5"/>
  <c r="AK7" i="5"/>
  <c r="L8" i="5"/>
  <c r="M8" i="5"/>
  <c r="AI8" i="5"/>
  <c r="AJ8" i="5"/>
  <c r="AK8" i="5"/>
  <c r="K9" i="5"/>
  <c r="M9" i="5"/>
  <c r="AI9" i="5"/>
  <c r="AJ9" i="5"/>
  <c r="AK9" i="5"/>
  <c r="S11" i="5"/>
  <c r="T11" i="5"/>
  <c r="U11" i="5"/>
  <c r="W11" i="5"/>
  <c r="X11" i="5"/>
  <c r="Z11" i="5"/>
  <c r="AA11" i="5"/>
  <c r="AB11" i="5"/>
  <c r="AD11" i="5"/>
  <c r="AE11" i="5"/>
  <c r="AF11" i="5"/>
  <c r="AG11" i="5"/>
  <c r="AH11" i="5"/>
  <c r="AI11" i="5"/>
  <c r="AJ11" i="5"/>
  <c r="AK11" i="5"/>
  <c r="I12" i="5"/>
  <c r="J12" i="5"/>
  <c r="K12" i="5"/>
  <c r="M12" i="5"/>
  <c r="S12" i="5"/>
  <c r="T12" i="5"/>
  <c r="U12" i="5"/>
  <c r="W12" i="5"/>
  <c r="X12" i="5"/>
  <c r="Z12" i="5"/>
  <c r="AA12" i="5"/>
  <c r="AB12" i="5"/>
  <c r="AD12" i="5"/>
  <c r="AE12" i="5"/>
  <c r="AF12" i="5"/>
  <c r="AG12" i="5"/>
  <c r="AH12" i="5"/>
  <c r="AI12" i="5"/>
  <c r="AJ12" i="5"/>
  <c r="AK12" i="5"/>
  <c r="S13" i="5"/>
  <c r="T13" i="5"/>
  <c r="U13" i="5"/>
  <c r="W13" i="5"/>
  <c r="X13" i="5"/>
  <c r="Z13" i="5"/>
  <c r="AA13" i="5"/>
  <c r="AB13" i="5"/>
  <c r="AD13" i="5"/>
  <c r="AE13" i="5"/>
  <c r="AF13" i="5"/>
  <c r="AG13" i="5"/>
  <c r="AH13" i="5"/>
  <c r="AI13" i="5"/>
  <c r="AJ13" i="5"/>
  <c r="AK13" i="5"/>
  <c r="I14" i="5"/>
  <c r="K14" i="5"/>
  <c r="M14" i="5"/>
  <c r="S14" i="5"/>
  <c r="T14" i="5"/>
  <c r="U14" i="5"/>
  <c r="W14" i="5"/>
  <c r="X14" i="5"/>
  <c r="Z14" i="5"/>
  <c r="AA14" i="5"/>
  <c r="AB14" i="5"/>
  <c r="AD14" i="5"/>
  <c r="AE14" i="5"/>
  <c r="AF14" i="5"/>
  <c r="AG14" i="5"/>
  <c r="AH14" i="5"/>
  <c r="AI14" i="5"/>
  <c r="AJ14" i="5"/>
  <c r="AK14" i="5"/>
  <c r="K16" i="5"/>
  <c r="M16" i="5"/>
  <c r="S16" i="5"/>
  <c r="T16" i="5"/>
  <c r="U16" i="5"/>
  <c r="W16" i="5"/>
  <c r="X16" i="5"/>
  <c r="Z16" i="5"/>
  <c r="AA16" i="5"/>
  <c r="AB16" i="5"/>
  <c r="AD16" i="5"/>
  <c r="AE16" i="5"/>
  <c r="AF16" i="5"/>
  <c r="AG16" i="5"/>
  <c r="AH16" i="5"/>
  <c r="AI16" i="5"/>
  <c r="AJ16" i="5"/>
  <c r="AK16" i="5"/>
  <c r="S17" i="5"/>
  <c r="T17" i="5"/>
  <c r="U17" i="5"/>
  <c r="W17" i="5"/>
  <c r="X17" i="5"/>
  <c r="Z17" i="5"/>
  <c r="AA17" i="5"/>
  <c r="AB17" i="5"/>
  <c r="AD17" i="5"/>
  <c r="AE17" i="5"/>
  <c r="AF17" i="5"/>
  <c r="AG17" i="5"/>
  <c r="AH17" i="5"/>
  <c r="AI17" i="5"/>
  <c r="AJ17" i="5"/>
  <c r="AK17" i="5"/>
  <c r="S18" i="5"/>
  <c r="T18" i="5"/>
  <c r="U18" i="5"/>
  <c r="W18" i="5"/>
  <c r="X18" i="5"/>
  <c r="Z18" i="5"/>
  <c r="AA18" i="5"/>
  <c r="AB18" i="5"/>
  <c r="AD18" i="5"/>
  <c r="AE18" i="5"/>
  <c r="AF18" i="5"/>
  <c r="AG18" i="5"/>
  <c r="AH18" i="5"/>
  <c r="AI18" i="5"/>
  <c r="AJ18" i="5"/>
  <c r="AK18" i="5"/>
  <c r="M19" i="5"/>
  <c r="S19" i="5"/>
  <c r="T19" i="5"/>
  <c r="U19" i="5"/>
  <c r="W19" i="5"/>
  <c r="X19" i="5"/>
  <c r="Z19" i="5"/>
  <c r="AA19" i="5"/>
  <c r="AB19" i="5"/>
  <c r="AD19" i="5"/>
  <c r="AE19" i="5"/>
  <c r="AF19" i="5"/>
  <c r="AG19" i="5"/>
  <c r="AH19" i="5"/>
  <c r="AI19" i="5"/>
  <c r="AJ19" i="5"/>
  <c r="AK19" i="5"/>
  <c r="J20" i="5"/>
  <c r="M20" i="5"/>
  <c r="J21" i="5"/>
  <c r="M21" i="5"/>
  <c r="S21" i="5"/>
  <c r="T21" i="5"/>
  <c r="U21" i="5"/>
  <c r="W21" i="5"/>
  <c r="X21" i="5"/>
  <c r="Z21" i="5"/>
  <c r="AA21" i="5"/>
  <c r="AB21" i="5"/>
  <c r="AD21" i="5"/>
  <c r="AE21" i="5"/>
  <c r="AF21" i="5"/>
  <c r="AG21" i="5"/>
  <c r="AH21" i="5"/>
  <c r="AI21" i="5"/>
  <c r="AJ21" i="5"/>
  <c r="AK21" i="5"/>
  <c r="K22" i="5"/>
  <c r="S22" i="5"/>
  <c r="T22" i="5"/>
  <c r="U22" i="5"/>
  <c r="W22" i="5"/>
  <c r="X22" i="5"/>
  <c r="Z22" i="5"/>
  <c r="AA22" i="5"/>
  <c r="AB22" i="5"/>
  <c r="AD22" i="5"/>
  <c r="AE22" i="5"/>
  <c r="AF22" i="5"/>
  <c r="AG22" i="5"/>
  <c r="AH22" i="5"/>
  <c r="AI22" i="5"/>
  <c r="AJ22" i="5"/>
  <c r="AK22" i="5"/>
  <c r="S23" i="5"/>
  <c r="T23" i="5"/>
  <c r="U23" i="5"/>
  <c r="W23" i="5"/>
  <c r="X23" i="5"/>
  <c r="Z23" i="5"/>
  <c r="AA23" i="5"/>
  <c r="AB23" i="5"/>
  <c r="AD23" i="5"/>
  <c r="AE23" i="5"/>
  <c r="AF23" i="5"/>
  <c r="AG23" i="5"/>
  <c r="AH23" i="5"/>
  <c r="AI23" i="5"/>
  <c r="AJ23" i="5"/>
  <c r="AK23" i="5"/>
  <c r="S24" i="5"/>
  <c r="T24" i="5"/>
  <c r="U24" i="5"/>
  <c r="W24" i="5"/>
  <c r="X24" i="5"/>
  <c r="Z24" i="5"/>
  <c r="AA24" i="5"/>
  <c r="AB24" i="5"/>
  <c r="AD24" i="5"/>
  <c r="AE24" i="5"/>
  <c r="AF24" i="5"/>
  <c r="AG24" i="5"/>
  <c r="AH24" i="5"/>
  <c r="AI24" i="5"/>
  <c r="AJ24" i="5"/>
  <c r="AK24" i="5"/>
  <c r="K26" i="5"/>
  <c r="L26" i="5"/>
  <c r="M26" i="5"/>
  <c r="S26" i="5"/>
  <c r="T26" i="5"/>
  <c r="U26" i="5"/>
  <c r="W26" i="5"/>
  <c r="X26" i="5"/>
  <c r="Z26" i="5"/>
  <c r="AA26" i="5"/>
  <c r="AB26" i="5"/>
  <c r="AD26" i="5"/>
  <c r="AE26" i="5"/>
  <c r="AF26" i="5"/>
  <c r="AG26" i="5"/>
  <c r="AH26" i="5"/>
  <c r="AI26" i="5"/>
  <c r="AJ26" i="5"/>
  <c r="AK26" i="5"/>
  <c r="S27" i="5"/>
  <c r="T27" i="5"/>
  <c r="U27" i="5"/>
  <c r="W27" i="5"/>
  <c r="X27" i="5"/>
  <c r="Z27" i="5"/>
  <c r="AA27" i="5"/>
  <c r="AB27" i="5"/>
  <c r="AD27" i="5"/>
  <c r="AE27" i="5"/>
  <c r="AF27" i="5"/>
  <c r="AG27" i="5"/>
  <c r="AH27" i="5"/>
  <c r="AI27" i="5"/>
  <c r="AJ27" i="5"/>
  <c r="AK27" i="5"/>
  <c r="L28" i="5"/>
  <c r="M28" i="5"/>
  <c r="S28" i="5"/>
  <c r="T28" i="5"/>
  <c r="U28" i="5"/>
  <c r="W28" i="5"/>
  <c r="X28" i="5"/>
  <c r="Z28" i="5"/>
  <c r="AA28" i="5"/>
  <c r="AB28" i="5"/>
  <c r="AD28" i="5"/>
  <c r="AE28" i="5"/>
  <c r="AF28" i="5"/>
  <c r="AG28" i="5"/>
  <c r="AH28" i="5"/>
  <c r="AI28" i="5"/>
  <c r="AJ28" i="5"/>
  <c r="AK28" i="5"/>
  <c r="S29" i="5"/>
  <c r="T29" i="5"/>
  <c r="U29" i="5"/>
  <c r="W29" i="5"/>
  <c r="X29" i="5"/>
  <c r="Z29" i="5"/>
  <c r="AA29" i="5"/>
  <c r="AB29" i="5"/>
  <c r="AD29" i="5"/>
  <c r="AE29" i="5"/>
  <c r="AF29" i="5"/>
  <c r="AG29" i="5"/>
  <c r="AH29" i="5"/>
  <c r="AI29" i="5"/>
  <c r="AJ29" i="5"/>
  <c r="AK29" i="5"/>
  <c r="S31" i="5"/>
  <c r="T31" i="5"/>
  <c r="U31" i="5"/>
  <c r="W31" i="5"/>
  <c r="X31" i="5"/>
  <c r="Z31" i="5"/>
  <c r="AA31" i="5"/>
  <c r="AB31" i="5"/>
  <c r="AD31" i="5"/>
  <c r="AE31" i="5"/>
  <c r="AF31" i="5"/>
  <c r="AG31" i="5"/>
  <c r="AH31" i="5"/>
  <c r="AI31" i="5"/>
  <c r="AJ31" i="5"/>
  <c r="AK31" i="5"/>
  <c r="S32" i="5"/>
  <c r="T32" i="5"/>
  <c r="U32" i="5"/>
  <c r="W32" i="5"/>
  <c r="X32" i="5"/>
  <c r="Z32" i="5"/>
  <c r="AA32" i="5"/>
  <c r="AB32" i="5"/>
  <c r="AD32" i="5"/>
  <c r="AE32" i="5"/>
  <c r="AF32" i="5"/>
  <c r="AG32" i="5"/>
  <c r="AH32" i="5"/>
  <c r="AI32" i="5"/>
  <c r="AJ32" i="5"/>
  <c r="AK32" i="5"/>
  <c r="J33" i="5"/>
  <c r="K33" i="5"/>
  <c r="S33" i="5"/>
  <c r="T33" i="5"/>
  <c r="U33" i="5"/>
  <c r="W33" i="5"/>
  <c r="X33" i="5"/>
  <c r="Z33" i="5"/>
  <c r="AA33" i="5"/>
  <c r="AB33" i="5"/>
  <c r="AD33" i="5"/>
  <c r="AE33" i="5"/>
  <c r="AF33" i="5"/>
  <c r="AG33" i="5"/>
  <c r="AH33" i="5"/>
  <c r="AI33" i="5"/>
  <c r="AJ33" i="5"/>
  <c r="AK33" i="5"/>
  <c r="J34" i="5"/>
  <c r="K34" i="5"/>
  <c r="S34" i="5"/>
  <c r="T34" i="5"/>
  <c r="U34" i="5"/>
  <c r="W34" i="5"/>
  <c r="X34" i="5"/>
  <c r="Z34" i="5"/>
  <c r="AA34" i="5"/>
  <c r="AB34" i="5"/>
  <c r="AD34" i="5"/>
  <c r="AE34" i="5"/>
  <c r="AF34" i="5"/>
  <c r="AG34" i="5"/>
  <c r="AH34" i="5"/>
  <c r="AI34" i="5"/>
  <c r="AJ34" i="5"/>
  <c r="AK34" i="5"/>
  <c r="J35" i="5"/>
  <c r="K35" i="5"/>
  <c r="J36" i="5"/>
  <c r="K36" i="5"/>
  <c r="S36" i="5"/>
  <c r="T36" i="5"/>
  <c r="U36" i="5"/>
  <c r="W36" i="5"/>
  <c r="X36" i="5"/>
  <c r="Z36" i="5"/>
  <c r="AA36" i="5"/>
  <c r="AB36" i="5"/>
  <c r="AD36" i="5"/>
  <c r="AE36" i="5"/>
  <c r="AF36" i="5"/>
  <c r="AG36" i="5"/>
  <c r="AH36" i="5"/>
  <c r="AI36" i="5"/>
  <c r="AJ36" i="5"/>
  <c r="AK36" i="5"/>
  <c r="J37" i="5"/>
  <c r="K37" i="5"/>
  <c r="S37" i="5"/>
  <c r="T37" i="5"/>
  <c r="U37" i="5"/>
  <c r="W37" i="5"/>
  <c r="X37" i="5"/>
  <c r="Z37" i="5"/>
  <c r="AA37" i="5"/>
  <c r="AB37" i="5"/>
  <c r="AD37" i="5"/>
  <c r="AE37" i="5"/>
  <c r="AF37" i="5"/>
  <c r="AG37" i="5"/>
  <c r="AH37" i="5"/>
  <c r="AI37" i="5"/>
  <c r="AJ37" i="5"/>
  <c r="AK37" i="5"/>
  <c r="S38" i="5"/>
  <c r="T38" i="5"/>
  <c r="U38" i="5"/>
  <c r="W38" i="5"/>
  <c r="X38" i="5"/>
  <c r="Z38" i="5"/>
  <c r="AA38" i="5"/>
  <c r="AB38" i="5"/>
  <c r="AD38" i="5"/>
  <c r="AE38" i="5"/>
  <c r="AF38" i="5"/>
  <c r="AG38" i="5"/>
  <c r="AH38" i="5"/>
  <c r="AI38" i="5"/>
  <c r="AJ38" i="5"/>
  <c r="AK38" i="5"/>
  <c r="S39" i="5"/>
  <c r="T39" i="5"/>
  <c r="U39" i="5"/>
  <c r="W39" i="5"/>
  <c r="X39" i="5"/>
  <c r="Z39" i="5"/>
  <c r="AA39" i="5"/>
  <c r="AB39" i="5"/>
  <c r="AD39" i="5"/>
  <c r="AE39" i="5"/>
  <c r="AF39" i="5"/>
  <c r="AG39" i="5"/>
  <c r="AH39" i="5"/>
  <c r="AI39" i="5"/>
  <c r="AJ39" i="5"/>
  <c r="AK39" i="5"/>
  <c r="K43" i="5"/>
  <c r="V43" i="5"/>
  <c r="K44" i="5"/>
  <c r="V44" i="5"/>
  <c r="K45" i="5"/>
  <c r="V45" i="5"/>
  <c r="K46" i="5"/>
  <c r="K47" i="5"/>
  <c r="R47" i="5"/>
  <c r="R48" i="5"/>
  <c r="J49" i="5"/>
  <c r="R50" i="5"/>
  <c r="Y62" i="5"/>
  <c r="Z62" i="5"/>
  <c r="Y63" i="5"/>
  <c r="Z63" i="5"/>
  <c r="Y64" i="5"/>
  <c r="Z64" i="5"/>
  <c r="Y65" i="5"/>
  <c r="Z65" i="5"/>
  <c r="Y66" i="5"/>
  <c r="Z66" i="5"/>
</calcChain>
</file>

<file path=xl/sharedStrings.xml><?xml version="1.0" encoding="utf-8"?>
<sst xmlns="http://schemas.openxmlformats.org/spreadsheetml/2006/main" count="191" uniqueCount="143">
  <si>
    <t>ROE</t>
  </si>
  <si>
    <t>Revenue Requirement</t>
  </si>
  <si>
    <t>@EXP(5.72260-(.68367*@LN(T)))</t>
  </si>
  <si>
    <t>@EXP(5.70827-(.68367*@LN(T)))</t>
  </si>
  <si>
    <t>Revenue</t>
  </si>
  <si>
    <t>@EXP(5.69850-(.68367*@LN(T)))</t>
  </si>
  <si>
    <t>@EXP(5.69220-(.68367*@LN(T)))</t>
  </si>
  <si>
    <t xml:space="preserve"> B &amp; O Tax</t>
  </si>
  <si>
    <t xml:space="preserve"> WUTC Fee</t>
  </si>
  <si>
    <t xml:space="preserve"> City Tax</t>
  </si>
  <si>
    <t>Tax Rate</t>
  </si>
  <si>
    <t xml:space="preserve"> Bad Debts</t>
  </si>
  <si>
    <t>Revenue Sensitive</t>
  </si>
  <si>
    <t>Conversion Factor</t>
  </si>
  <si>
    <t>Basis Points</t>
  </si>
  <si>
    <t>2018 Version Update Changes</t>
  </si>
  <si>
    <t>CALCULATION TABLES</t>
  </si>
  <si>
    <t>Revenue Senstive Taxes (RevS)</t>
  </si>
  <si>
    <t>(a)</t>
  </si>
  <si>
    <t>(b)</t>
  </si>
  <si>
    <t>(c)</t>
  </si>
  <si>
    <t>(d)</t>
  </si>
  <si>
    <t>(e)</t>
  </si>
  <si>
    <t>(f)</t>
  </si>
  <si>
    <t>Regession</t>
  </si>
  <si>
    <t>Hauler</t>
  </si>
  <si>
    <t>Revenue Req</t>
  </si>
  <si>
    <t xml:space="preserve">Revenue </t>
  </si>
  <si>
    <t>Line</t>
  </si>
  <si>
    <t>Historical</t>
  </si>
  <si>
    <t>Proforma</t>
  </si>
  <si>
    <t>Before Tax</t>
  </si>
  <si>
    <t>Less</t>
  </si>
  <si>
    <t>Adjusted</t>
  </si>
  <si>
    <t>After Tax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</si>
  <si>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</si>
  <si>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</si>
  <si>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</si>
  <si>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</si>
  <si>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</si>
  <si>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</si>
  <si>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</si>
  <si>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No.</t>
  </si>
  <si>
    <t>Taxes</t>
  </si>
  <si>
    <t>Profit Ratio</t>
  </si>
  <si>
    <t>BTROI</t>
  </si>
  <si>
    <t>WCDebt</t>
  </si>
  <si>
    <t>BTROE</t>
  </si>
  <si>
    <t>Equity</t>
  </si>
  <si>
    <t>Equity BFT</t>
  </si>
  <si>
    <t>Debt</t>
  </si>
  <si>
    <t>BTROR</t>
  </si>
  <si>
    <t>Operating Ratio</t>
  </si>
  <si>
    <t>RevS Taxes</t>
  </si>
  <si>
    <t>Operating Expenses</t>
  </si>
  <si>
    <t>Investment</t>
  </si>
  <si>
    <t>Capital Structure-Debt %</t>
  </si>
  <si>
    <t>Operating Income</t>
  </si>
  <si>
    <t>Capital Structure-Debt Rate</t>
  </si>
  <si>
    <t>Federal Income Tax Rate</t>
  </si>
  <si>
    <t>Interest Expense</t>
  </si>
  <si>
    <t>2nd Iteration</t>
  </si>
  <si>
    <t>B&amp;O Tax Rate</t>
  </si>
  <si>
    <t>Income Tax Expense</t>
  </si>
  <si>
    <t>WUTC Fee</t>
  </si>
  <si>
    <t>City Tax</t>
  </si>
  <si>
    <t>Net Income</t>
  </si>
  <si>
    <t>Bad Debts</t>
  </si>
  <si>
    <t xml:space="preserve">Operating Ratio </t>
  </si>
  <si>
    <t>3rd Iteration</t>
  </si>
  <si>
    <t>Yes</t>
  </si>
  <si>
    <t>No</t>
  </si>
  <si>
    <t>Rev Sensitive Taxes</t>
  </si>
  <si>
    <t>Rate Increase</t>
  </si>
  <si>
    <t>4th Iteration</t>
  </si>
  <si>
    <t>Captial Structure Financing Investment</t>
  </si>
  <si>
    <t>Financing Cost</t>
  </si>
  <si>
    <t>Type</t>
  </si>
  <si>
    <t>Percent</t>
  </si>
  <si>
    <t>Amount</t>
  </si>
  <si>
    <t>Rate</t>
  </si>
  <si>
    <t>Weighted</t>
  </si>
  <si>
    <t>5th Iteration</t>
  </si>
  <si>
    <t>Total</t>
  </si>
  <si>
    <t>Before</t>
  </si>
  <si>
    <t>After</t>
  </si>
  <si>
    <t>Operating Statistics</t>
  </si>
  <si>
    <t>Income Tax</t>
  </si>
  <si>
    <t>6th Iteration</t>
  </si>
  <si>
    <t>Return on Investment</t>
  </si>
  <si>
    <t>Return on Equity</t>
  </si>
  <si>
    <t>Profit Margin</t>
  </si>
  <si>
    <t>7th Iteration</t>
  </si>
  <si>
    <t>Final turnover</t>
  </si>
  <si>
    <t>Revenue Sensitive Taxes Charges</t>
  </si>
  <si>
    <t>Curve</t>
  </si>
  <si>
    <t>Lookup Table</t>
  </si>
  <si>
    <t>Curve turnover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</si>
  <si>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</si>
  <si>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</si>
  <si>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</si>
  <si>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</si>
  <si>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</si>
  <si>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</si>
  <si>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</si>
  <si>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</si>
  <si>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</si>
  <si>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</si>
  <si>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INPUTS - Test Year</t>
  </si>
  <si>
    <t>Flotation Costs</t>
  </si>
  <si>
    <t>Percent Chg</t>
  </si>
  <si>
    <t>Curve No. Used</t>
  </si>
  <si>
    <t>Cost of Capital</t>
  </si>
  <si>
    <t>Public Companies</t>
  </si>
  <si>
    <t>Basis Points - Flotation</t>
  </si>
  <si>
    <t>● Allows Income Tax Rate Changes,</t>
  </si>
  <si>
    <t>● Minimizes impact of changes in test-year revenue from</t>
  </si>
  <si>
    <t xml:space="preserve">   resulting revenue requirment,</t>
  </si>
  <si>
    <t>● Corrects interest rate transposition in LG.</t>
  </si>
  <si>
    <t>Public Co</t>
  </si>
  <si>
    <t>Change</t>
  </si>
  <si>
    <t xml:space="preserve">Add: Revenue </t>
  </si>
  <si>
    <t>Sensitive Taxes</t>
  </si>
  <si>
    <t>(b) + (c)</t>
  </si>
  <si>
    <t>(d) + (e)</t>
  </si>
  <si>
    <t>Requirement</t>
  </si>
  <si>
    <t>Historical Revenue</t>
  </si>
  <si>
    <t>Circular Reference Error</t>
  </si>
  <si>
    <t xml:space="preserve">Check the "Enable iterative calculation" box. </t>
  </si>
  <si>
    <t>For Intial input: Uncheck Checkbox Until Completed</t>
  </si>
  <si>
    <t>To prevent a model "error cascade" caused by large changes in numbers,</t>
  </si>
  <si>
    <t>the new model uses an "INPUTS" box for initially entering the company data.</t>
  </si>
  <si>
    <t>This model has been designed to replace the original LG model because of the original model's inability to use lower income tax rates.</t>
  </si>
  <si>
    <t>It uses the same computational data and method reflected in the original model and therefore should produce the same Revenue Requirements that the original model.</t>
  </si>
  <si>
    <t>File&gt;Options&gt;Formulas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</si>
  <si>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</si>
  <si>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 xml:space="preserve">   When data has been entered into the Inputs box, recheck.</t>
  </si>
  <si>
    <t>Error Cascade</t>
  </si>
  <si>
    <t>Check when input is complete</t>
  </si>
  <si>
    <t>Revenue Increase before taxes</t>
  </si>
  <si>
    <t>Lurito Gallagher Model Replacement V5.0c -  Use the inputs box to enter company information.</t>
  </si>
  <si>
    <t>Percent Increase</t>
  </si>
  <si>
    <r>
      <t xml:space="preserve">LURITO - GALLAGHER FORMULA  MODEL 2018  </t>
    </r>
    <r>
      <rPr>
        <sz val="8"/>
        <color indexed="9"/>
        <rFont val="Calibri"/>
        <family val="2"/>
      </rPr>
      <t>V5.2c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</si>
</sst>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164" formatCode="General_)"/>
    <numFmt numFmtId="165" formatCode="#,##0.0000_);\(#,##0.0000\)"/>
    <numFmt numFmtId="166" formatCode="#,##0.000_);\(#,##0.000\)"/>
    <numFmt numFmtId="167" formatCode="0.000%"/>
    <numFmt numFmtId="168" formatCode="_(* #,##0_);_(* \(#,##0\);_(* &quot;-&quot;??_);_(@_)"/>
    <numFmt numFmtId="169" formatCode="#,##0.00000_);\(#,##0.00000\)"/>
    <numFmt numFmtId="170" formatCode="0.00000"/>
  </numFmts>
  <fonts count="39">
    <font>
      <sz val="12"/>
      <name val="Helv"/>
    </font>
    <font>
      <sz val="12"/>
      <name val="Helv"/>
    </font>
    <font>
      <sz val="12"/>
      <name val="SWISS"/>
    </font>
    <font>
      <sz val="12"/>
      <color indexed="12"/>
      <name val="SWISS"/>
    </font>
    <font>
      <sz val="11"/>
      <color theme="0"/>
      <name val="Calibri"/>
      <family val="2"/>
      <scheme val="minor"/>
    </font>
    <font>
      <sz val="14"/>
      <color indexed="9"/>
      <name val="Calibri"/>
      <family val="2"/>
    </font>
    <font>
      <b/>
      <sz val="12"/>
      <name val="SWISS"/>
    </font>
    <font>
      <b/>
      <sz val="14"/>
      <name val="SWISS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39"/>
      <name val="Times New Roman"/>
      <family val="1"/>
    </font>
    <font>
      <b/>
      <sz val="12"/>
      <color indexed="39"/>
      <name val="Times New Roman"/>
      <family val="1"/>
    </font>
    <font>
      <sz val="12"/>
      <color indexed="39"/>
      <name val="SWISS"/>
    </font>
    <font>
      <sz val="10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sz val="10"/>
      <color indexed="39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sz val="10"/>
      <name val="SWISS"/>
    </font>
    <font>
      <sz val="12"/>
      <color indexed="56"/>
      <name val="SWISS"/>
    </font>
    <font>
      <sz val="11"/>
      <name val="Times New Roman"/>
      <family val="1"/>
    </font>
    <font>
      <i/>
      <sz val="12"/>
      <name val="SWISS"/>
    </font>
    <font>
      <u/>
      <sz val="12"/>
      <name val="SWISS"/>
    </font>
    <font>
      <b/>
      <sz val="12"/>
      <name val="Times New Roman"/>
      <family val="1"/>
    </font>
    <font>
      <sz val="8"/>
      <color indexed="9"/>
      <name val="Calibri"/>
      <family val="2"/>
    </font>
    <font>
      <sz val="9"/>
      <color indexed="9"/>
      <name val="Calibri"/>
      <family val="2"/>
    </font>
    <font>
      <i/>
      <sz val="8"/>
      <color indexed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164" fontId="0" fillId="0" borderId="0"/>
    <xf numFmtId="9" fontId="1" fillId="0" borderId="0" applyFont="0" applyFill="0" applyBorder="0" applyAlignment="0" applyProtection="0"/>
    <xf numFmtId="0" fontId="2" fillId="3" borderId="0"/>
    <xf numFmtId="0" fontId="4" fillId="2" borderId="0" applyNumberFormat="0" applyBorder="0" applyAlignment="0" applyProtection="0"/>
    <xf numFmtId="41" fontId="13" fillId="7" borderId="0">
      <alignment horizontal="left"/>
    </xf>
    <xf numFmtId="10" fontId="13" fillId="7" borderId="0"/>
    <xf numFmtId="164" fontId="1" fillId="0" borderId="0"/>
  </cellStyleXfs>
  <cellXfs count="213">
    <xf numFmtId="164" fontId="0" fillId="0" borderId="0" xfId="0"/>
    <xf numFmtId="0" fontId="2" fillId="4" borderId="0" xfId="2" applyNumberFormat="1" applyFill="1"/>
    <xf numFmtId="0" fontId="3" fillId="4" borderId="0" xfId="2" applyNumberFormat="1" applyFont="1" applyFill="1"/>
    <xf numFmtId="0" fontId="3" fillId="4" borderId="9" xfId="2" applyNumberFormat="1" applyFont="1" applyFill="1" applyBorder="1"/>
    <xf numFmtId="0" fontId="3" fillId="0" borderId="4" xfId="2" applyNumberFormat="1" applyFont="1" applyFill="1" applyBorder="1"/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5" fillId="2" borderId="11" xfId="3" applyNumberFormat="1" applyFont="1" applyBorder="1" applyAlignment="1">
      <alignment horizontal="centerContinuous"/>
    </xf>
    <xf numFmtId="0" fontId="5" fillId="2" borderId="11" xfId="3" applyNumberFormat="1" applyFont="1" applyBorder="1" applyAlignment="1">
      <alignment horizontal="left"/>
    </xf>
    <xf numFmtId="0" fontId="2" fillId="3" borderId="4" xfId="2" applyNumberFormat="1" applyBorder="1"/>
    <xf numFmtId="0" fontId="7" fillId="3" borderId="13" xfId="2" applyNumberFormat="1" applyFont="1" applyBorder="1" applyAlignment="1">
      <alignment horizontal="centerContinuous"/>
    </xf>
    <xf numFmtId="0" fontId="7" fillId="3" borderId="14" xfId="2" applyNumberFormat="1" applyFont="1" applyBorder="1" applyAlignment="1">
      <alignment horizontal="centerContinuous"/>
    </xf>
    <xf numFmtId="0" fontId="2" fillId="3" borderId="14" xfId="2" applyNumberFormat="1" applyBorder="1" applyAlignment="1">
      <alignment horizontal="centerContinuous"/>
    </xf>
    <xf numFmtId="0" fontId="2" fillId="3" borderId="0" xfId="2" applyNumberFormat="1"/>
    <xf numFmtId="0" fontId="8" fillId="3" borderId="15" xfId="2" applyNumberFormat="1" applyFont="1" applyBorder="1"/>
    <xf numFmtId="0" fontId="8" fillId="3" borderId="0" xfId="2" applyNumberFormat="1" applyFont="1"/>
    <xf numFmtId="0" fontId="9" fillId="5" borderId="0" xfId="2" applyNumberFormat="1" applyFont="1" applyFill="1" applyAlignment="1">
      <alignment horizontal="center"/>
    </xf>
    <xf numFmtId="0" fontId="2" fillId="3" borderId="0" xfId="2" applyNumberFormat="1" applyAlignment="1">
      <alignment horizontal="center"/>
    </xf>
    <xf numFmtId="0" fontId="5" fillId="2" borderId="16" xfId="3" applyNumberFormat="1" applyFont="1" applyBorder="1" applyAlignment="1">
      <alignment horizontal="left"/>
    </xf>
    <xf numFmtId="0" fontId="2" fillId="6" borderId="0" xfId="2" applyNumberFormat="1" applyFill="1" applyBorder="1"/>
    <xf numFmtId="0" fontId="10" fillId="3" borderId="4" xfId="2" applyNumberFormat="1" applyFont="1" applyBorder="1"/>
    <xf numFmtId="0" fontId="10" fillId="3" borderId="0" xfId="2" applyNumberFormat="1" applyFont="1"/>
    <xf numFmtId="0" fontId="11" fillId="5" borderId="0" xfId="2" applyNumberFormat="1" applyFont="1" applyFill="1" applyAlignment="1">
      <alignment horizontal="center"/>
    </xf>
    <xf numFmtId="0" fontId="12" fillId="4" borderId="0" xfId="2" applyNumberFormat="1" applyFont="1" applyFill="1"/>
    <xf numFmtId="0" fontId="10" fillId="3" borderId="17" xfId="2" applyNumberFormat="1" applyFont="1" applyBorder="1" applyAlignment="1">
      <alignment horizontal="right"/>
    </xf>
    <xf numFmtId="41" fontId="8" fillId="0" borderId="8" xfId="4" applyFont="1" applyFill="1" applyBorder="1">
      <alignment horizontal="left"/>
    </xf>
    <xf numFmtId="0" fontId="10" fillId="3" borderId="6" xfId="2" applyNumberFormat="1" applyFont="1" applyBorder="1"/>
    <xf numFmtId="0" fontId="9" fillId="5" borderId="7" xfId="2" applyNumberFormat="1" applyFont="1" applyFill="1" applyBorder="1"/>
    <xf numFmtId="0" fontId="11" fillId="5" borderId="7" xfId="2" applyNumberFormat="1" applyFont="1" applyFill="1" applyBorder="1"/>
    <xf numFmtId="0" fontId="11" fillId="5" borderId="7" xfId="2" applyNumberFormat="1" applyFont="1" applyFill="1" applyBorder="1" applyAlignment="1">
      <alignment horizontal="center"/>
    </xf>
    <xf numFmtId="41" fontId="2" fillId="4" borderId="0" xfId="2" applyNumberFormat="1" applyFill="1"/>
    <xf numFmtId="0" fontId="13" fillId="3" borderId="0" xfId="2" applyNumberFormat="1" applyFont="1"/>
    <xf numFmtId="41" fontId="8" fillId="0" borderId="14" xfId="4" applyFont="1" applyFill="1" applyBorder="1">
      <alignment horizontal="left"/>
    </xf>
    <xf numFmtId="0" fontId="10" fillId="3" borderId="18" xfId="2" applyNumberFormat="1" applyFont="1" applyBorder="1" applyAlignment="1">
      <alignment horizontal="center"/>
    </xf>
    <xf numFmtId="0" fontId="10" fillId="3" borderId="0" xfId="2" applyNumberFormat="1" applyFont="1" applyAlignment="1">
      <alignment horizontal="right"/>
    </xf>
    <xf numFmtId="41" fontId="10" fillId="3" borderId="0" xfId="2" applyNumberFormat="1" applyFont="1"/>
    <xf numFmtId="0" fontId="2" fillId="3" borderId="1" xfId="2" applyNumberFormat="1" applyBorder="1" applyAlignment="1">
      <alignment horizontal="center"/>
    </xf>
    <xf numFmtId="2" fontId="2" fillId="3" borderId="1" xfId="2" applyNumberFormat="1" applyBorder="1" applyAlignment="1">
      <alignment horizontal="center"/>
    </xf>
    <xf numFmtId="165" fontId="2" fillId="3" borderId="2" xfId="2" applyNumberFormat="1" applyBorder="1"/>
    <xf numFmtId="10" fontId="14" fillId="3" borderId="2" xfId="2" applyNumberFormat="1" applyFont="1" applyBorder="1"/>
    <xf numFmtId="41" fontId="2" fillId="3" borderId="3" xfId="2" applyNumberFormat="1" applyBorder="1"/>
    <xf numFmtId="41" fontId="2" fillId="3" borderId="1" xfId="2" applyNumberFormat="1" applyBorder="1"/>
    <xf numFmtId="41" fontId="2" fillId="3" borderId="2" xfId="2" applyNumberFormat="1" applyBorder="1"/>
    <xf numFmtId="0" fontId="10" fillId="3" borderId="17" xfId="2" applyNumberFormat="1" applyFont="1" applyBorder="1" applyAlignment="1">
      <alignment horizontal="center"/>
    </xf>
    <xf numFmtId="0" fontId="15" fillId="3" borderId="4" xfId="2" applyNumberFormat="1" applyFont="1" applyBorder="1" applyAlignment="1">
      <alignment horizontal="center"/>
    </xf>
    <xf numFmtId="2" fontId="2" fillId="3" borderId="4" xfId="2" applyNumberFormat="1" applyBorder="1" applyAlignment="1">
      <alignment horizontal="center"/>
    </xf>
    <xf numFmtId="165" fontId="2" fillId="3" borderId="0" xfId="2" applyNumberFormat="1" applyBorder="1"/>
    <xf numFmtId="10" fontId="14" fillId="3" borderId="0" xfId="2" applyNumberFormat="1" applyFont="1" applyBorder="1"/>
    <xf numFmtId="41" fontId="2" fillId="3" borderId="5" xfId="2" applyNumberFormat="1" applyBorder="1"/>
    <xf numFmtId="41" fontId="2" fillId="3" borderId="4" xfId="2" applyNumberFormat="1" applyBorder="1"/>
    <xf numFmtId="41" fontId="2" fillId="3" borderId="0" xfId="2" applyNumberFormat="1" applyBorder="1"/>
    <xf numFmtId="10" fontId="8" fillId="0" borderId="14" xfId="5" applyFont="1" applyFill="1" applyBorder="1"/>
    <xf numFmtId="41" fontId="10" fillId="3" borderId="19" xfId="2" applyNumberFormat="1" applyFont="1" applyBorder="1"/>
    <xf numFmtId="5" fontId="10" fillId="3" borderId="19" xfId="2" applyNumberFormat="1" applyFont="1" applyBorder="1"/>
    <xf numFmtId="0" fontId="2" fillId="3" borderId="4" xfId="2" applyNumberFormat="1" applyBorder="1" applyAlignment="1">
      <alignment horizontal="center"/>
    </xf>
    <xf numFmtId="0" fontId="2" fillId="3" borderId="6" xfId="2" applyNumberFormat="1" applyBorder="1" applyAlignment="1">
      <alignment horizontal="center"/>
    </xf>
    <xf numFmtId="167" fontId="8" fillId="0" borderId="14" xfId="5" applyNumberFormat="1" applyFont="1" applyFill="1" applyBorder="1"/>
    <xf numFmtId="165" fontId="15" fillId="3" borderId="0" xfId="2" applyNumberFormat="1" applyFont="1" applyBorder="1"/>
    <xf numFmtId="41" fontId="10" fillId="3" borderId="20" xfId="2" applyNumberFormat="1" applyFont="1" applyBorder="1"/>
    <xf numFmtId="0" fontId="10" fillId="3" borderId="21" xfId="2" applyNumberFormat="1" applyFont="1" applyBorder="1" applyAlignment="1">
      <alignment horizontal="right"/>
    </xf>
    <xf numFmtId="167" fontId="8" fillId="0" borderId="22" xfId="5" applyNumberFormat="1" applyFont="1" applyFill="1" applyBorder="1"/>
    <xf numFmtId="41" fontId="8" fillId="3" borderId="0" xfId="2" applyNumberFormat="1" applyFont="1"/>
    <xf numFmtId="165" fontId="2" fillId="3" borderId="7" xfId="2" applyNumberFormat="1" applyBorder="1"/>
    <xf numFmtId="10" fontId="10" fillId="3" borderId="0" xfId="2" applyNumberFormat="1" applyFont="1" applyAlignment="1">
      <alignment horizontal="right"/>
    </xf>
    <xf numFmtId="41" fontId="8" fillId="7" borderId="0" xfId="4" applyFont="1" applyAlignment="1">
      <alignment horizontal="right"/>
    </xf>
    <xf numFmtId="0" fontId="2" fillId="3" borderId="0" xfId="2" applyNumberFormat="1" applyAlignment="1">
      <alignment horizontal="right"/>
    </xf>
    <xf numFmtId="0" fontId="10" fillId="3" borderId="23" xfId="2" applyNumberFormat="1" applyFont="1" applyBorder="1" applyAlignment="1">
      <alignment horizontal="right"/>
    </xf>
    <xf numFmtId="0" fontId="2" fillId="3" borderId="24" xfId="2" applyNumberFormat="1" applyBorder="1" applyAlignment="1">
      <alignment horizontal="center"/>
    </xf>
    <xf numFmtId="2" fontId="2" fillId="3" borderId="24" xfId="2" applyNumberFormat="1" applyBorder="1" applyAlignment="1">
      <alignment horizontal="center"/>
    </xf>
    <xf numFmtId="165" fontId="2" fillId="3" borderId="25" xfId="2" applyNumberFormat="1" applyBorder="1"/>
    <xf numFmtId="10" fontId="14" fillId="3" borderId="25" xfId="2" applyNumberFormat="1" applyFont="1" applyBorder="1"/>
    <xf numFmtId="41" fontId="2" fillId="3" borderId="26" xfId="2" applyNumberFormat="1" applyBorder="1"/>
    <xf numFmtId="41" fontId="2" fillId="3" borderId="24" xfId="2" applyNumberFormat="1" applyBorder="1"/>
    <xf numFmtId="41" fontId="2" fillId="3" borderId="25" xfId="2" applyNumberFormat="1" applyBorder="1"/>
    <xf numFmtId="0" fontId="8" fillId="4" borderId="0" xfId="2" applyNumberFormat="1" applyFont="1" applyFill="1"/>
    <xf numFmtId="0" fontId="10" fillId="3" borderId="0" xfId="2" applyNumberFormat="1" applyFont="1" applyBorder="1" applyAlignment="1">
      <alignment horizontal="right"/>
    </xf>
    <xf numFmtId="41" fontId="10" fillId="3" borderId="0" xfId="2" applyNumberFormat="1" applyFont="1" applyBorder="1"/>
    <xf numFmtId="0" fontId="16" fillId="3" borderId="0" xfId="2" applyNumberFormat="1" applyFont="1" applyBorder="1" applyAlignment="1">
      <alignment horizontal="left"/>
    </xf>
    <xf numFmtId="0" fontId="9" fillId="7" borderId="0" xfId="2" applyNumberFormat="1" applyFont="1" applyFill="1" applyBorder="1" applyAlignment="1">
      <alignment horizontal="centerContinuous"/>
    </xf>
    <xf numFmtId="0" fontId="17" fillId="3" borderId="0" xfId="2" applyNumberFormat="1" applyFont="1" applyAlignment="1">
      <alignment horizontal="right"/>
    </xf>
    <xf numFmtId="41" fontId="17" fillId="3" borderId="0" xfId="2" applyNumberFormat="1" applyFont="1" applyAlignment="1">
      <alignment horizontal="center"/>
    </xf>
    <xf numFmtId="0" fontId="17" fillId="3" borderId="0" xfId="2" applyNumberFormat="1" applyFont="1" applyAlignment="1">
      <alignment horizontal="center"/>
    </xf>
    <xf numFmtId="10" fontId="10" fillId="3" borderId="0" xfId="2" applyNumberFormat="1" applyFont="1" applyAlignment="1">
      <alignment horizontal="center"/>
    </xf>
    <xf numFmtId="41" fontId="10" fillId="3" borderId="0" xfId="2" applyNumberFormat="1" applyFont="1" applyBorder="1" applyProtection="1">
      <protection locked="0"/>
    </xf>
    <xf numFmtId="37" fontId="2" fillId="3" borderId="0" xfId="2" applyNumberFormat="1"/>
    <xf numFmtId="39" fontId="2" fillId="3" borderId="0" xfId="2" applyNumberFormat="1"/>
    <xf numFmtId="165" fontId="2" fillId="3" borderId="0" xfId="2" applyNumberFormat="1"/>
    <xf numFmtId="41" fontId="10" fillId="3" borderId="7" xfId="2" applyNumberFormat="1" applyFont="1" applyBorder="1" applyProtection="1">
      <protection locked="0"/>
    </xf>
    <xf numFmtId="41" fontId="10" fillId="3" borderId="27" xfId="2" applyNumberFormat="1" applyFont="1" applyBorder="1"/>
    <xf numFmtId="0" fontId="8" fillId="3" borderId="0" xfId="2" applyNumberFormat="1" applyFont="1" applyAlignment="1">
      <alignment horizontal="right"/>
    </xf>
    <xf numFmtId="10" fontId="10" fillId="3" borderId="27" xfId="2" applyNumberFormat="1" applyFont="1" applyBorder="1" applyAlignment="1">
      <alignment horizontal="center"/>
    </xf>
    <xf numFmtId="0" fontId="11" fillId="3" borderId="0" xfId="2" applyNumberFormat="1" applyFont="1" applyAlignment="1">
      <alignment horizontal="center"/>
    </xf>
    <xf numFmtId="5" fontId="2" fillId="4" borderId="0" xfId="2" applyNumberFormat="1" applyFill="1"/>
    <xf numFmtId="0" fontId="18" fillId="3" borderId="0" xfId="2" applyNumberFormat="1" applyFont="1"/>
    <xf numFmtId="0" fontId="11" fillId="3" borderId="0" xfId="2" applyNumberFormat="1" applyFont="1"/>
    <xf numFmtId="0" fontId="18" fillId="3" borderId="0" xfId="2" applyNumberFormat="1" applyFont="1" applyAlignment="1">
      <alignment horizontal="right"/>
    </xf>
    <xf numFmtId="5" fontId="2" fillId="4" borderId="0" xfId="2" applyNumberFormat="1" applyFill="1" applyBorder="1"/>
    <xf numFmtId="10" fontId="10" fillId="3" borderId="0" xfId="2" applyNumberFormat="1" applyFont="1"/>
    <xf numFmtId="0" fontId="10" fillId="3" borderId="0" xfId="2" quotePrefix="1" applyNumberFormat="1" applyFont="1" applyAlignment="1">
      <alignment horizontal="left"/>
    </xf>
    <xf numFmtId="10" fontId="2" fillId="4" borderId="0" xfId="2" applyNumberFormat="1" applyFill="1"/>
    <xf numFmtId="166" fontId="2" fillId="3" borderId="0" xfId="2" applyNumberFormat="1"/>
    <xf numFmtId="0" fontId="19" fillId="3" borderId="0" xfId="2" applyNumberFormat="1" applyFont="1"/>
    <xf numFmtId="39" fontId="10" fillId="3" borderId="0" xfId="2" applyNumberFormat="1" applyFont="1"/>
    <xf numFmtId="0" fontId="2" fillId="3" borderId="17" xfId="2" applyNumberFormat="1" applyBorder="1"/>
    <xf numFmtId="0" fontId="21" fillId="3" borderId="0" xfId="2" applyNumberFormat="1" applyFont="1"/>
    <xf numFmtId="0" fontId="11" fillId="3" borderId="7" xfId="2" applyNumberFormat="1" applyFont="1" applyBorder="1" applyAlignment="1">
      <alignment horizontal="right"/>
    </xf>
    <xf numFmtId="0" fontId="2" fillId="3" borderId="24" xfId="2" applyNumberFormat="1" applyBorder="1" applyAlignment="1">
      <alignment horizontal="centerContinuous"/>
    </xf>
    <xf numFmtId="0" fontId="2" fillId="3" borderId="26" xfId="2" applyNumberFormat="1" applyBorder="1" applyAlignment="1">
      <alignment horizontal="centerContinuous"/>
    </xf>
    <xf numFmtId="0" fontId="2" fillId="3" borderId="25" xfId="2" applyNumberFormat="1" applyBorder="1"/>
    <xf numFmtId="0" fontId="2" fillId="3" borderId="26" xfId="2" applyNumberFormat="1" applyBorder="1"/>
    <xf numFmtId="10" fontId="13" fillId="7" borderId="0" xfId="5"/>
    <xf numFmtId="0" fontId="22" fillId="3" borderId="0" xfId="2" applyNumberFormat="1" applyFont="1"/>
    <xf numFmtId="167" fontId="10" fillId="3" borderId="0" xfId="2" applyNumberFormat="1" applyFont="1"/>
    <xf numFmtId="168" fontId="10" fillId="3" borderId="0" xfId="2" applyNumberFormat="1" applyFont="1" applyBorder="1" applyProtection="1">
      <protection locked="0"/>
    </xf>
    <xf numFmtId="0" fontId="2" fillId="3" borderId="4" xfId="2" applyNumberFormat="1" applyBorder="1" applyAlignment="1">
      <alignment horizontal="centerContinuous"/>
    </xf>
    <xf numFmtId="0" fontId="2" fillId="3" borderId="5" xfId="2" applyNumberFormat="1" applyBorder="1" applyAlignment="1">
      <alignment horizontal="centerContinuous"/>
    </xf>
    <xf numFmtId="0" fontId="2" fillId="3" borderId="0" xfId="2" applyNumberFormat="1" applyBorder="1"/>
    <xf numFmtId="0" fontId="2" fillId="3" borderId="5" xfId="2" applyNumberFormat="1" applyBorder="1"/>
    <xf numFmtId="0" fontId="2" fillId="3" borderId="5" xfId="2" applyNumberFormat="1" applyBorder="1" applyAlignment="1">
      <alignment horizontal="center"/>
    </xf>
    <xf numFmtId="0" fontId="2" fillId="3" borderId="0" xfId="2" quotePrefix="1" applyNumberFormat="1" applyBorder="1" applyAlignment="1">
      <alignment horizontal="right"/>
    </xf>
    <xf numFmtId="10" fontId="2" fillId="3" borderId="5" xfId="2" applyNumberFormat="1" applyBorder="1"/>
    <xf numFmtId="10" fontId="2" fillId="3" borderId="0" xfId="2" applyNumberFormat="1" applyAlignment="1">
      <alignment horizontal="center"/>
    </xf>
    <xf numFmtId="41" fontId="2" fillId="3" borderId="0" xfId="2" applyNumberFormat="1"/>
    <xf numFmtId="167" fontId="10" fillId="3" borderId="27" xfId="2" applyNumberFormat="1" applyFont="1" applyBorder="1"/>
    <xf numFmtId="0" fontId="2" fillId="3" borderId="8" xfId="2" applyNumberFormat="1" applyBorder="1" applyAlignment="1">
      <alignment horizontal="center"/>
    </xf>
    <xf numFmtId="0" fontId="2" fillId="3" borderId="7" xfId="2" applyNumberFormat="1" applyBorder="1"/>
    <xf numFmtId="0" fontId="2" fillId="3" borderId="8" xfId="2" applyNumberFormat="1" applyBorder="1"/>
    <xf numFmtId="167" fontId="8" fillId="3" borderId="0" xfId="2" applyNumberFormat="1" applyFont="1"/>
    <xf numFmtId="0" fontId="24" fillId="4" borderId="0" xfId="2" applyNumberFormat="1" applyFont="1" applyFill="1"/>
    <xf numFmtId="2" fontId="24" fillId="4" borderId="0" xfId="2" applyNumberFormat="1" applyFont="1" applyFill="1"/>
    <xf numFmtId="0" fontId="23" fillId="3" borderId="8" xfId="2" applyNumberFormat="1" applyFont="1" applyBorder="1"/>
    <xf numFmtId="0" fontId="23" fillId="4" borderId="0" xfId="2" applyNumberFormat="1" applyFont="1" applyFill="1"/>
    <xf numFmtId="0" fontId="2" fillId="4" borderId="0" xfId="2" applyNumberFormat="1" applyFill="1" applyAlignment="1">
      <alignment horizontal="right"/>
    </xf>
    <xf numFmtId="169" fontId="2" fillId="3" borderId="0" xfId="2" applyNumberFormat="1"/>
    <xf numFmtId="0" fontId="6" fillId="3" borderId="0" xfId="2" applyNumberFormat="1" applyFont="1" applyBorder="1" applyAlignment="1">
      <alignment horizontal="centerContinuous"/>
    </xf>
    <xf numFmtId="0" fontId="2" fillId="3" borderId="0" xfId="2" applyNumberFormat="1" applyAlignment="1">
      <alignment horizontal="centerContinuous"/>
    </xf>
    <xf numFmtId="0" fontId="2" fillId="3" borderId="24" xfId="2" applyNumberFormat="1" applyBorder="1"/>
    <xf numFmtId="0" fontId="25" fillId="3" borderId="25" xfId="2" applyNumberFormat="1" applyFont="1" applyBorder="1" applyAlignment="1">
      <alignment horizontal="center"/>
    </xf>
    <xf numFmtId="0" fontId="25" fillId="3" borderId="26" xfId="2" applyNumberFormat="1" applyFont="1" applyBorder="1" applyAlignment="1">
      <alignment horizontal="center"/>
    </xf>
    <xf numFmtId="0" fontId="2" fillId="3" borderId="24" xfId="2" applyNumberFormat="1" applyBorder="1" applyAlignment="1">
      <alignment horizontal="left"/>
    </xf>
    <xf numFmtId="170" fontId="26" fillId="3" borderId="25" xfId="2" applyNumberFormat="1" applyFont="1" applyBorder="1" applyAlignment="1">
      <alignment horizontal="center"/>
    </xf>
    <xf numFmtId="0" fontId="2" fillId="3" borderId="25" xfId="2" applyNumberFormat="1" applyBorder="1" applyAlignment="1">
      <alignment horizontal="left"/>
    </xf>
    <xf numFmtId="170" fontId="26" fillId="3" borderId="26" xfId="2" applyNumberFormat="1" applyFont="1" applyBorder="1" applyAlignment="1">
      <alignment horizontal="center"/>
    </xf>
    <xf numFmtId="10" fontId="27" fillId="7" borderId="0" xfId="5" applyFont="1" applyBorder="1"/>
    <xf numFmtId="167" fontId="27" fillId="7" borderId="5" xfId="5" applyNumberFormat="1" applyFont="1" applyBorder="1"/>
    <xf numFmtId="0" fontId="2" fillId="3" borderId="4" xfId="2" applyNumberFormat="1" applyBorder="1" applyAlignment="1">
      <alignment horizontal="left"/>
    </xf>
    <xf numFmtId="170" fontId="26" fillId="3" borderId="0" xfId="2" applyNumberFormat="1" applyFont="1" applyBorder="1" applyAlignment="1">
      <alignment horizontal="center"/>
    </xf>
    <xf numFmtId="0" fontId="2" fillId="3" borderId="0" xfId="2" applyNumberFormat="1" applyBorder="1" applyAlignment="1">
      <alignment horizontal="left"/>
    </xf>
    <xf numFmtId="170" fontId="26" fillId="3" borderId="5" xfId="2" applyNumberFormat="1" applyFont="1" applyBorder="1" applyAlignment="1">
      <alignment horizontal="center"/>
    </xf>
    <xf numFmtId="0" fontId="23" fillId="4" borderId="0" xfId="2" applyNumberFormat="1" applyFont="1" applyFill="1" applyAlignment="1">
      <alignment horizontal="fill"/>
    </xf>
    <xf numFmtId="0" fontId="28" fillId="3" borderId="0" xfId="2" applyNumberFormat="1" applyFont="1" applyBorder="1" applyAlignment="1">
      <alignment horizontal="centerContinuous"/>
    </xf>
    <xf numFmtId="170" fontId="2" fillId="3" borderId="5" xfId="2" applyNumberFormat="1" applyBorder="1" applyAlignment="1">
      <alignment horizontal="center"/>
    </xf>
    <xf numFmtId="0" fontId="2" fillId="3" borderId="6" xfId="2" applyNumberFormat="1" applyBorder="1"/>
    <xf numFmtId="0" fontId="2" fillId="3" borderId="7" xfId="2" applyNumberFormat="1" applyBorder="1" applyAlignment="1">
      <alignment horizontal="right"/>
    </xf>
    <xf numFmtId="170" fontId="26" fillId="3" borderId="7" xfId="2" applyNumberFormat="1" applyFont="1" applyBorder="1" applyAlignment="1">
      <alignment horizontal="left"/>
    </xf>
    <xf numFmtId="170" fontId="2" fillId="3" borderId="8" xfId="2" applyNumberFormat="1" applyBorder="1" applyAlignment="1">
      <alignment horizontal="center"/>
    </xf>
    <xf numFmtId="10" fontId="27" fillId="7" borderId="7" xfId="5" applyFont="1" applyBorder="1"/>
    <xf numFmtId="10" fontId="27" fillId="7" borderId="8" xfId="5" applyFont="1" applyBorder="1"/>
    <xf numFmtId="170" fontId="2" fillId="3" borderId="0" xfId="2" applyNumberFormat="1"/>
    <xf numFmtId="0" fontId="29" fillId="3" borderId="0" xfId="2" applyNumberFormat="1" applyFont="1"/>
    <xf numFmtId="0" fontId="2" fillId="7" borderId="0" xfId="2" applyNumberFormat="1" applyFill="1"/>
    <xf numFmtId="0" fontId="2" fillId="3" borderId="0" xfId="2" quotePrefix="1" applyNumberFormat="1" applyBorder="1" applyAlignment="1">
      <alignment horizontal="left"/>
    </xf>
    <xf numFmtId="0" fontId="2" fillId="3" borderId="25" xfId="2" quotePrefix="1" applyNumberFormat="1" applyBorder="1" applyAlignment="1">
      <alignment horizontal="left"/>
    </xf>
    <xf numFmtId="0" fontId="2" fillId="3" borderId="7" xfId="2" quotePrefix="1" applyNumberFormat="1" applyBorder="1" applyAlignment="1">
      <alignment horizontal="left"/>
    </xf>
    <xf numFmtId="10" fontId="2" fillId="3" borderId="7" xfId="2" applyNumberFormat="1" applyBorder="1" applyAlignment="1">
      <alignment horizontal="center"/>
    </xf>
    <xf numFmtId="10" fontId="2" fillId="3" borderId="6" xfId="2" applyNumberFormat="1" applyBorder="1" applyAlignment="1">
      <alignment horizontal="center"/>
    </xf>
    <xf numFmtId="10" fontId="2" fillId="3" borderId="5" xfId="2" applyNumberFormat="1" applyBorder="1" applyAlignment="1">
      <alignment horizontal="center"/>
    </xf>
    <xf numFmtId="10" fontId="2" fillId="3" borderId="0" xfId="2" applyNumberFormat="1" applyBorder="1" applyAlignment="1">
      <alignment horizontal="center"/>
    </xf>
    <xf numFmtId="0" fontId="2" fillId="3" borderId="25" xfId="2" quotePrefix="1" applyNumberFormat="1" applyBorder="1" applyAlignment="1">
      <alignment horizontal="right"/>
    </xf>
    <xf numFmtId="0" fontId="2" fillId="3" borderId="26" xfId="2" quotePrefix="1" applyNumberFormat="1" applyBorder="1" applyAlignment="1">
      <alignment horizontal="right"/>
    </xf>
    <xf numFmtId="0" fontId="20" fillId="3" borderId="0" xfId="2" applyNumberFormat="1" applyFont="1" applyBorder="1"/>
    <xf numFmtId="0" fontId="20" fillId="3" borderId="5" xfId="2" applyNumberFormat="1" applyFont="1" applyBorder="1"/>
    <xf numFmtId="0" fontId="2" fillId="3" borderId="7" xfId="2" quotePrefix="1" applyNumberFormat="1" applyBorder="1" applyAlignment="1">
      <alignment horizontal="right"/>
    </xf>
    <xf numFmtId="10" fontId="2" fillId="3" borderId="8" xfId="2" applyNumberFormat="1" applyBorder="1"/>
    <xf numFmtId="10" fontId="2" fillId="3" borderId="5" xfId="1" applyNumberFormat="1" applyFont="1" applyFill="1" applyBorder="1"/>
    <xf numFmtId="10" fontId="8" fillId="0" borderId="22" xfId="5" applyNumberFormat="1" applyFont="1" applyFill="1" applyBorder="1"/>
    <xf numFmtId="0" fontId="0" fillId="4" borderId="0" xfId="0" applyNumberFormat="1" applyFill="1"/>
    <xf numFmtId="0" fontId="30" fillId="4" borderId="0" xfId="0" applyNumberFormat="1" applyFont="1" applyFill="1"/>
    <xf numFmtId="0" fontId="8" fillId="4" borderId="0" xfId="0" applyNumberFormat="1" applyFont="1" applyFill="1"/>
    <xf numFmtId="0" fontId="31" fillId="2" borderId="10" xfId="3" applyNumberFormat="1" applyFont="1" applyBorder="1" applyAlignment="1">
      <alignment horizontal="centerContinuous"/>
    </xf>
    <xf numFmtId="0" fontId="32" fillId="2" borderId="12" xfId="3" applyNumberFormat="1" applyFont="1" applyBorder="1" applyAlignment="1">
      <alignment horizontal="centerContinuous"/>
    </xf>
    <xf numFmtId="0" fontId="9" fillId="5" borderId="0" xfId="2" applyNumberFormat="1" applyFont="1" applyFill="1" applyBorder="1" applyAlignment="1">
      <alignment horizontal="left"/>
    </xf>
    <xf numFmtId="0" fontId="11" fillId="5" borderId="0" xfId="0" applyNumberFormat="1" applyFont="1" applyFill="1" applyAlignment="1">
      <alignment horizontal="center"/>
    </xf>
    <xf numFmtId="0" fontId="8" fillId="3" borderId="4" xfId="2" applyNumberFormat="1" applyFont="1" applyBorder="1"/>
    <xf numFmtId="0" fontId="33" fillId="5" borderId="0" xfId="2" applyNumberFormat="1" applyFont="1" applyFill="1" applyAlignment="1">
      <alignment horizontal="center"/>
    </xf>
    <xf numFmtId="164" fontId="0" fillId="8" borderId="0" xfId="0" applyFill="1"/>
    <xf numFmtId="164" fontId="34" fillId="8" borderId="0" xfId="0" applyFont="1" applyFill="1"/>
    <xf numFmtId="0" fontId="11" fillId="3" borderId="0" xfId="2" applyNumberFormat="1" applyFont="1" applyBorder="1" applyAlignment="1">
      <alignment horizontal="right"/>
    </xf>
    <xf numFmtId="41" fontId="11" fillId="3" borderId="28" xfId="2" applyNumberFormat="1" applyFont="1" applyBorder="1"/>
    <xf numFmtId="0" fontId="9" fillId="5" borderId="1" xfId="2" applyNumberFormat="1" applyFont="1" applyFill="1" applyBorder="1" applyAlignment="1">
      <alignment horizontal="left"/>
    </xf>
    <xf numFmtId="0" fontId="2" fillId="3" borderId="2" xfId="2" applyNumberFormat="1" applyBorder="1"/>
    <xf numFmtId="0" fontId="2" fillId="3" borderId="3" xfId="2" applyNumberFormat="1" applyBorder="1"/>
    <xf numFmtId="41" fontId="10" fillId="3" borderId="5" xfId="2" applyNumberFormat="1" applyFont="1" applyBorder="1"/>
    <xf numFmtId="41" fontId="11" fillId="3" borderId="29" xfId="2" applyNumberFormat="1" applyFont="1" applyBorder="1"/>
    <xf numFmtId="164" fontId="36" fillId="8" borderId="0" xfId="0" applyFont="1" applyFill="1"/>
    <xf numFmtId="0" fontId="10" fillId="3" borderId="0" xfId="2" applyNumberFormat="1" applyFont="1" applyBorder="1"/>
    <xf numFmtId="0" fontId="8" fillId="3" borderId="0" xfId="2" applyNumberFormat="1" applyFont="1" applyBorder="1"/>
    <xf numFmtId="10" fontId="10" fillId="3" borderId="0" xfId="2" applyNumberFormat="1" applyFont="1" applyBorder="1"/>
    <xf numFmtId="0" fontId="11" fillId="3" borderId="7" xfId="2" applyNumberFormat="1" applyFont="1" applyBorder="1" applyAlignment="1">
      <alignment horizontal="center"/>
    </xf>
    <xf numFmtId="0" fontId="11" fillId="3" borderId="17" xfId="2" applyNumberFormat="1" applyFont="1" applyBorder="1" applyAlignment="1">
      <alignment horizontal="right"/>
    </xf>
    <xf numFmtId="0" fontId="8" fillId="4" borderId="0" xfId="2" applyNumberFormat="1" applyFont="1" applyFill="1" applyBorder="1"/>
    <xf numFmtId="164" fontId="37" fillId="0" borderId="0" xfId="0" applyFont="1"/>
    <xf numFmtId="164" fontId="38" fillId="0" borderId="0" xfId="6" applyFont="1"/>
    <xf numFmtId="10" fontId="16" fillId="3" borderId="0" xfId="1" applyNumberFormat="1" applyFont="1" applyFill="1" applyBorder="1" applyAlignment="1">
      <alignment horizontal="left"/>
    </xf>
    <xf numFmtId="0" fontId="10" fillId="3" borderId="7" xfId="2" applyNumberFormat="1" applyFont="1" applyBorder="1" applyAlignment="1">
      <alignment horizontal="right" vertical="center"/>
    </xf>
    <xf numFmtId="10" fontId="11" fillId="3" borderId="7" xfId="2" applyNumberFormat="1" applyFont="1" applyBorder="1" applyAlignment="1">
      <alignment horizontal="center" vertical="center"/>
    </xf>
    <xf numFmtId="0" fontId="6" fillId="4" borderId="0" xfId="0" applyNumberFormat="1" applyFont="1" applyFill="1" applyAlignment="1">
      <alignment horizontal="center"/>
    </xf>
    <xf numFmtId="0" fontId="2" fillId="3" borderId="10" xfId="2" applyNumberFormat="1" applyBorder="1" applyAlignment="1">
      <alignment horizontal="center"/>
    </xf>
    <xf numFmtId="0" fontId="2" fillId="3" borderId="11" xfId="2" applyNumberFormat="1" applyBorder="1" applyAlignment="1">
      <alignment horizontal="center"/>
    </xf>
    <xf numFmtId="0" fontId="2" fillId="3" borderId="12" xfId="2" applyNumberFormat="1" applyBorder="1" applyAlignment="1">
      <alignment horizontal="center"/>
    </xf>
    <xf numFmtId="0" fontId="8" fillId="4" borderId="0" xfId="0" applyNumberFormat="1" applyFont="1" applyFill="1" applyBorder="1" applyAlignment="1">
      <alignment horizontal="center"/>
    </xf>
    <xf numFmtId="0" fontId="8" fillId="4" borderId="30" xfId="0" applyNumberFormat="1" applyFont="1" applyFill="1" applyBorder="1" applyAlignment="1">
      <alignment horizontal="center"/>
    </xf>
    <xf numFmtId="0" fontId="18" fillId="3" borderId="0" xfId="2" applyNumberFormat="1" applyFont="1" applyAlignment="1">
      <alignment horizontal="center"/>
    </xf>
  </cellXfs>
  <cellStyles count="7">
    <cellStyle name="Accent5 2" xfId="3"/>
    <cellStyle name="Comma 2" xfId="4"/>
    <cellStyle name="Normal" xfId="0" builtinId="0"/>
    <cellStyle name="Normal 2" xfId="2"/>
    <cellStyle name="Normal 3" xfId="6"/>
    <cellStyle name="Percent" xfId="1" builtinId="5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833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182880</xdr:rowOff>
        </xdr:from>
        <xdr:to>
          <xdr:col>2</xdr:col>
          <xdr:colOff>342900</xdr:colOff>
          <xdr:row>17</xdr:row>
          <xdr:rowOff>7620</xdr:rowOff>
        </xdr:to>
        <xdr:sp macro="" textlink="">
          <xdr:nvSpPr>
            <xdr:cNvPr id="6145" name="DataCompleted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369094</xdr:colOff>
      <xdr:row>11</xdr:row>
      <xdr:rowOff>140493</xdr:rowOff>
    </xdr:from>
    <xdr:to>
      <xdr:col>23</xdr:col>
      <xdr:colOff>463284</xdr:colOff>
      <xdr:row>40</xdr:row>
      <xdr:rowOff>149281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094" y="3009899"/>
          <a:ext cx="8476190" cy="59500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392907</xdr:colOff>
      <xdr:row>15</xdr:row>
      <xdr:rowOff>71216</xdr:rowOff>
    </xdr:from>
    <xdr:to>
      <xdr:col>8</xdr:col>
      <xdr:colOff>333375</xdr:colOff>
      <xdr:row>41</xdr:row>
      <xdr:rowOff>37555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907" y="3821685"/>
          <a:ext cx="5274468" cy="522890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%20V5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V112"/>
  <sheetViews>
    <sheetView showGridLines="0" tabSelected="1" showOutlineSymbols="0" zoomScale="120" zoomScaleNormal="120" workbookViewId="0">
      <selection activeCell="I7" sqref="I7"/>
    </sheetView>
  </sheetViews>
  <sheetFormatPr defaultColWidth="13" defaultRowHeight="15"/>
  <cols>
    <col min="1" max="1" width="5.81640625" style="13" customWidth="1"/>
    <col min="2" max="2" width="26.08984375" style="160" bestFit="1" customWidth="1"/>
    <col min="3" max="3" width="16.54296875" style="160" customWidth="1"/>
    <col min="4" max="4" width="16.54296875" style="160" hidden="1" customWidth="1"/>
    <col min="5" max="5" width="5.6328125" style="160" customWidth="1"/>
    <col min="6" max="6" width="4.453125" style="13" customWidth="1"/>
    <col min="7" max="7" width="6.6328125" style="13" customWidth="1"/>
    <col min="8" max="8" width="11.6328125" style="13" customWidth="1"/>
    <col min="9" max="9" width="13.81640625" style="13" customWidth="1"/>
    <col min="10" max="10" width="10.36328125" style="13" customWidth="1"/>
    <col min="11" max="11" width="11.81640625" style="13" bestFit="1" customWidth="1"/>
    <col min="12" max="13" width="15.81640625" style="13" customWidth="1"/>
    <col min="14" max="14" width="1.90625" style="13" customWidth="1"/>
    <col min="15" max="15" width="4.90625" style="160" customWidth="1"/>
    <col min="16" max="16" width="31.453125" style="160" customWidth="1"/>
    <col min="17" max="17" width="13" style="9"/>
    <col min="18" max="18" width="10.81640625" style="17" customWidth="1"/>
    <col min="19" max="19" width="13" style="13"/>
    <col min="20" max="20" width="10.453125" style="13" customWidth="1"/>
    <col min="21" max="21" width="12.1796875" style="13" customWidth="1"/>
    <col min="22" max="22" width="13" style="13"/>
    <col min="23" max="26" width="13.81640625" style="13" customWidth="1"/>
    <col min="27" max="27" width="12.453125" style="13" customWidth="1"/>
    <col min="28" max="28" width="13" style="13"/>
    <col min="29" max="29" width="12.36328125" style="13" customWidth="1"/>
    <col min="30" max="31" width="13" style="13"/>
    <col min="32" max="32" width="12.81640625" style="13" customWidth="1"/>
    <col min="33" max="33" width="13.453125" style="13" customWidth="1"/>
    <col min="34" max="34" width="16.08984375" style="13" customWidth="1"/>
    <col min="35" max="35" width="14.08984375" style="13" customWidth="1"/>
    <col min="36" max="36" width="12.81640625" style="13" customWidth="1"/>
    <col min="37" max="37" width="13" style="13"/>
    <col min="38" max="38" width="10.81640625" style="13" customWidth="1"/>
    <col min="39" max="39" width="12.81640625" style="13" customWidth="1"/>
    <col min="40" max="51" width="11.81640625" style="13" customWidth="1"/>
    <col min="52" max="16384" width="13" style="13"/>
  </cols>
  <sheetData>
    <row r="1" spans="1:37" s="6" customFormat="1" ht="15.6" thickBo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2"/>
      <c r="P1" s="2"/>
      <c r="Q1" s="4"/>
      <c r="R1" s="5"/>
    </row>
    <row r="2" spans="1:37" ht="18.600000000000001" thickBot="1">
      <c r="A2" s="1"/>
      <c r="B2" s="206" t="s">
        <v>113</v>
      </c>
      <c r="C2" s="206"/>
      <c r="D2" s="1"/>
      <c r="E2" s="1"/>
      <c r="F2" s="179" t="s">
        <v>119</v>
      </c>
      <c r="G2" s="7"/>
      <c r="H2" s="7"/>
      <c r="I2" s="8" t="s">
        <v>142</v>
      </c>
      <c r="J2" s="7"/>
      <c r="K2" s="7"/>
      <c r="L2" s="7"/>
      <c r="M2" s="180" t="s">
        <v>119</v>
      </c>
      <c r="O2" s="1"/>
      <c r="P2" s="2"/>
      <c r="R2" s="10" t="s">
        <v>16</v>
      </c>
      <c r="S2" s="11"/>
      <c r="T2" s="12"/>
      <c r="AH2" s="207" t="s">
        <v>17</v>
      </c>
      <c r="AI2" s="208"/>
      <c r="AJ2" s="208"/>
      <c r="AK2" s="209"/>
    </row>
    <row r="3" spans="1:37" ht="16.2" thickBot="1">
      <c r="A3" s="1"/>
      <c r="B3" s="1"/>
      <c r="C3" s="1"/>
      <c r="D3" s="1"/>
      <c r="E3" s="1"/>
      <c r="F3" s="14"/>
      <c r="G3" s="15"/>
      <c r="H3" s="16"/>
      <c r="I3" s="16"/>
      <c r="J3" s="16"/>
      <c r="K3" s="184" t="s">
        <v>123</v>
      </c>
      <c r="L3" s="16"/>
      <c r="M3" s="184" t="s">
        <v>124</v>
      </c>
      <c r="O3" s="1"/>
      <c r="P3" s="2"/>
      <c r="R3" s="13"/>
      <c r="T3" s="13" t="s">
        <v>24</v>
      </c>
      <c r="V3" s="17" t="s">
        <v>24</v>
      </c>
      <c r="W3" s="17" t="s">
        <v>24</v>
      </c>
      <c r="X3" s="17" t="s">
        <v>24</v>
      </c>
      <c r="Y3" s="17"/>
      <c r="Z3" s="17" t="s">
        <v>33</v>
      </c>
      <c r="AA3" s="17" t="s">
        <v>25</v>
      </c>
      <c r="AB3" s="17" t="s">
        <v>25</v>
      </c>
      <c r="AC3" s="17" t="s">
        <v>25</v>
      </c>
      <c r="AD3" s="17" t="s">
        <v>25</v>
      </c>
      <c r="AE3" s="17" t="s">
        <v>25</v>
      </c>
      <c r="AF3" s="17" t="s">
        <v>25</v>
      </c>
      <c r="AG3" s="17" t="s">
        <v>26</v>
      </c>
      <c r="AH3" s="17" t="s">
        <v>4</v>
      </c>
      <c r="AI3" s="17" t="s">
        <v>27</v>
      </c>
      <c r="AJ3" s="17"/>
    </row>
    <row r="4" spans="1:37" ht="18.600000000000001" thickBot="1">
      <c r="A4" s="1"/>
      <c r="B4" s="18" t="s">
        <v>108</v>
      </c>
      <c r="C4" s="8"/>
      <c r="D4" s="19"/>
      <c r="E4" s="1"/>
      <c r="F4" s="183"/>
      <c r="G4" s="15"/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O4" s="23"/>
      <c r="P4" s="2"/>
      <c r="R4" s="13"/>
      <c r="T4" s="17" t="s">
        <v>31</v>
      </c>
      <c r="V4" s="17" t="s">
        <v>32</v>
      </c>
      <c r="W4" s="17" t="s">
        <v>33</v>
      </c>
      <c r="X4" s="17" t="s">
        <v>34</v>
      </c>
      <c r="Y4" s="17" t="s">
        <v>109</v>
      </c>
      <c r="Z4" s="17" t="s">
        <v>34</v>
      </c>
      <c r="AA4" s="17" t="s">
        <v>35</v>
      </c>
      <c r="AB4" s="17" t="s">
        <v>35</v>
      </c>
      <c r="AC4" s="17" t="s">
        <v>35</v>
      </c>
      <c r="AD4" s="17" t="s">
        <v>33</v>
      </c>
      <c r="AE4" s="17" t="s">
        <v>31</v>
      </c>
      <c r="AF4" s="17" t="s">
        <v>31</v>
      </c>
      <c r="AG4" s="17" t="s">
        <v>36</v>
      </c>
      <c r="AH4" s="17" t="s">
        <v>37</v>
      </c>
      <c r="AI4" s="17" t="s">
        <v>38</v>
      </c>
      <c r="AJ4" s="17" t="s">
        <v>39</v>
      </c>
      <c r="AK4" s="17" t="s">
        <v>40</v>
      </c>
    </row>
    <row r="5" spans="1:37" ht="15.6">
      <c r="A5" s="1"/>
      <c r="B5" s="24" t="s">
        <v>41</v>
      </c>
      <c r="C5" s="25">
        <v>52000000</v>
      </c>
      <c r="D5" s="19"/>
      <c r="E5" s="1"/>
      <c r="F5" s="20" t="s">
        <v>28</v>
      </c>
      <c r="G5" s="21"/>
      <c r="H5" s="21"/>
      <c r="I5" s="16" t="s">
        <v>29</v>
      </c>
      <c r="J5" s="16" t="s">
        <v>4</v>
      </c>
      <c r="K5" s="22" t="s">
        <v>30</v>
      </c>
      <c r="L5" s="182" t="s">
        <v>121</v>
      </c>
      <c r="M5" s="22" t="s">
        <v>4</v>
      </c>
      <c r="O5" s="30"/>
      <c r="P5" s="2"/>
      <c r="R5" s="31"/>
      <c r="T5" s="17" t="s">
        <v>44</v>
      </c>
      <c r="U5" s="17" t="s">
        <v>45</v>
      </c>
      <c r="V5" s="17" t="s">
        <v>46</v>
      </c>
      <c r="W5" s="17" t="s">
        <v>47</v>
      </c>
      <c r="X5" s="17" t="s">
        <v>0</v>
      </c>
      <c r="Y5" s="17" t="s">
        <v>14</v>
      </c>
      <c r="Z5" s="17" t="s">
        <v>0</v>
      </c>
      <c r="AA5" s="17" t="s">
        <v>48</v>
      </c>
      <c r="AB5" s="17" t="s">
        <v>49</v>
      </c>
      <c r="AC5" s="17" t="s">
        <v>50</v>
      </c>
      <c r="AD5" s="17" t="s">
        <v>51</v>
      </c>
      <c r="AE5" s="17" t="s">
        <v>44</v>
      </c>
      <c r="AF5" s="17" t="s">
        <v>52</v>
      </c>
      <c r="AG5" s="17" t="s">
        <v>43</v>
      </c>
      <c r="AH5" s="17" t="s">
        <v>53</v>
      </c>
      <c r="AI5" s="17" t="s">
        <v>53</v>
      </c>
      <c r="AJ5" s="17" t="s">
        <v>43</v>
      </c>
      <c r="AK5" s="17" t="s">
        <v>26</v>
      </c>
    </row>
    <row r="6" spans="1:37" ht="15.6">
      <c r="A6" s="1"/>
      <c r="B6" s="24" t="s">
        <v>54</v>
      </c>
      <c r="C6" s="32">
        <v>49500000</v>
      </c>
      <c r="D6" s="19"/>
      <c r="E6" s="1"/>
      <c r="F6" s="26" t="s">
        <v>42</v>
      </c>
      <c r="G6" s="21"/>
      <c r="H6" s="21"/>
      <c r="I6" s="27"/>
      <c r="J6" s="29" t="s">
        <v>120</v>
      </c>
      <c r="K6" s="28"/>
      <c r="L6" s="29" t="s">
        <v>122</v>
      </c>
      <c r="M6" s="29" t="s">
        <v>125</v>
      </c>
      <c r="O6" s="30"/>
      <c r="P6" s="2"/>
      <c r="R6" s="36">
        <v>1</v>
      </c>
      <c r="S6" s="37">
        <f>Revenue/Investment*100</f>
        <v>173.33333333333334</v>
      </c>
      <c r="T6" s="38">
        <f>EXP(y_inter1-(slope*LN(+S6)))</f>
        <v>9.0081805976767289</v>
      </c>
      <c r="U6" s="39">
        <f>(+S6*T6/100)/100</f>
        <v>0.15614179702639666</v>
      </c>
      <c r="V6" s="39">
        <f>regDebt_weighted</f>
        <v>3.5860000000000003E-2</v>
      </c>
      <c r="W6" s="39">
        <f>+U6-V6</f>
        <v>0.12028179702639666</v>
      </c>
      <c r="X6" s="39">
        <f>+((W6*(1-0.34))-Pfd_weighted)/Equity_percent</f>
        <v>0.21277902917855171</v>
      </c>
      <c r="Y6" s="70">
        <f>+C15</f>
        <v>2.5000000000000001E-3</v>
      </c>
      <c r="Z6" s="39">
        <f>+X6+Y6</f>
        <v>0.21527902917855171</v>
      </c>
      <c r="AA6" s="39">
        <f>Z6*equityP</f>
        <v>8.6111611671420688E-2</v>
      </c>
      <c r="AB6" s="39">
        <f>+AA6/(1-taxrate)</f>
        <v>0.10900204009040593</v>
      </c>
      <c r="AC6" s="39">
        <f>debtP*Debt_Rate</f>
        <v>0.03</v>
      </c>
      <c r="AD6" s="39">
        <f>AC6+AB6</f>
        <v>0.13900204009040593</v>
      </c>
      <c r="AE6" s="39">
        <f>AD6/(S6/100)</f>
        <v>8.0193484667541878E-2</v>
      </c>
      <c r="AF6" s="39">
        <f>1-AE6</f>
        <v>0.91980651533245816</v>
      </c>
      <c r="AG6" s="40">
        <f>expenses/(AF6)</f>
        <v>53815665.767608248</v>
      </c>
      <c r="AH6" s="41">
        <f>+AG6-Revenue</f>
        <v>1815665.7676082477</v>
      </c>
      <c r="AI6" s="42">
        <f ca="1">+AH6/$J$49</f>
        <v>2009789.5626641221</v>
      </c>
      <c r="AJ6" s="42">
        <f ca="1">+AI6*$J$47</f>
        <v>40396.770209548857</v>
      </c>
      <c r="AK6" s="40">
        <f ca="1">ROUND(+AJ6+AG6,5)</f>
        <v>53856062.537819996</v>
      </c>
    </row>
    <row r="7" spans="1:37" ht="15.6">
      <c r="A7" s="1"/>
      <c r="B7" s="24" t="s">
        <v>55</v>
      </c>
      <c r="C7" s="32">
        <v>30000000</v>
      </c>
      <c r="D7" s="19"/>
      <c r="E7" s="1"/>
      <c r="F7" s="33">
        <v>1</v>
      </c>
      <c r="G7" s="21"/>
      <c r="H7" s="34" t="s">
        <v>41</v>
      </c>
      <c r="I7" s="35">
        <f>IF(A64=TRUE,C5,0)</f>
        <v>52000000</v>
      </c>
      <c r="J7" s="35">
        <f ca="1">(+$I8/($R50))-I7</f>
        <v>1602754.8567344546</v>
      </c>
      <c r="K7" s="35">
        <f ca="1">+I7+J7</f>
        <v>53602754.856734455</v>
      </c>
      <c r="L7" s="35">
        <f ca="1">((+J7/J49*K35)-J7)</f>
        <v>35659.712709696265</v>
      </c>
      <c r="M7" s="35">
        <f ca="1">IFERROR(+K7+L7,0.00001)</f>
        <v>53638414.56944415</v>
      </c>
      <c r="O7" s="30"/>
      <c r="P7" s="2"/>
      <c r="R7" s="44">
        <v>2</v>
      </c>
      <c r="S7" s="45">
        <f>Revenue/Investment*100</f>
        <v>173.33333333333334</v>
      </c>
      <c r="T7" s="46">
        <f>EXP(y_inter1-(slope*LN(+S7)))</f>
        <v>9.0081805976767289</v>
      </c>
      <c r="U7" s="47">
        <f t="shared" ref="U7:U9" si="0">(+S7*T7/100)/100</f>
        <v>0.15614179702639666</v>
      </c>
      <c r="V7" s="47">
        <f>regDebt_weighted</f>
        <v>3.5860000000000003E-2</v>
      </c>
      <c r="W7" s="47">
        <f t="shared" ref="W7:W9" si="1">+U7-V7</f>
        <v>0.12028179702639666</v>
      </c>
      <c r="X7" s="47">
        <f>+((W7*(1-0.34))-Pfd_weighted)/Equity_percent</f>
        <v>0.21277902917855171</v>
      </c>
      <c r="Y7" s="47">
        <f>+Y6</f>
        <v>2.5000000000000001E-3</v>
      </c>
      <c r="Z7" s="47">
        <f>+X7+Y7</f>
        <v>0.21527902917855171</v>
      </c>
      <c r="AA7" s="47">
        <f>Z7*equityP</f>
        <v>8.6111611671420688E-2</v>
      </c>
      <c r="AB7" s="47">
        <f>+AA7/(1-taxrate)</f>
        <v>0.10900204009040593</v>
      </c>
      <c r="AC7" s="47">
        <f>debtP*Debt_Rate</f>
        <v>0.03</v>
      </c>
      <c r="AD7" s="47">
        <f t="shared" ref="AD7:AD9" si="2">AC7+AB7</f>
        <v>0.13900204009040593</v>
      </c>
      <c r="AE7" s="47">
        <f t="shared" ref="AE7:AE9" si="3">AD7/(S7/100)</f>
        <v>8.0193484667541878E-2</v>
      </c>
      <c r="AF7" s="47">
        <f t="shared" ref="AF7:AF9" si="4">1-AE7</f>
        <v>0.91980651533245816</v>
      </c>
      <c r="AG7" s="48">
        <f>expenses/(AF7)</f>
        <v>53815665.767608248</v>
      </c>
      <c r="AH7" s="49">
        <f>+AG7-Revenue</f>
        <v>1815665.7676082477</v>
      </c>
      <c r="AI7" s="50">
        <f ca="1">+AH7/$J$49</f>
        <v>2009789.5626641221</v>
      </c>
      <c r="AJ7" s="50">
        <f ca="1">+AI7*$J$47</f>
        <v>40396.770209548857</v>
      </c>
      <c r="AK7" s="48">
        <f t="shared" ref="AK7:AK9" ca="1" si="5">ROUND(+AJ7+AG7,5)</f>
        <v>53856062.537819996</v>
      </c>
    </row>
    <row r="8" spans="1:37" ht="15.6">
      <c r="A8" s="1"/>
      <c r="B8" s="24" t="s">
        <v>56</v>
      </c>
      <c r="C8" s="51">
        <v>0.6</v>
      </c>
      <c r="D8" s="19"/>
      <c r="E8" s="1"/>
      <c r="F8" s="43">
        <f>+F7+1</f>
        <v>2</v>
      </c>
      <c r="G8" s="21"/>
      <c r="H8" s="34" t="s">
        <v>54</v>
      </c>
      <c r="I8" s="35">
        <f>IF(A64=TRUE,C6,0)</f>
        <v>49500000</v>
      </c>
      <c r="J8" s="15"/>
      <c r="K8" s="35">
        <f>+I8</f>
        <v>49500000</v>
      </c>
      <c r="L8" s="35">
        <f ca="1">+L7</f>
        <v>35659.712709696265</v>
      </c>
      <c r="M8" s="35">
        <f ca="1">IFERROR(+K8+L8,0.00001)</f>
        <v>49535659.712709695</v>
      </c>
      <c r="O8" s="30"/>
      <c r="P8" s="2"/>
      <c r="R8" s="54">
        <v>3</v>
      </c>
      <c r="S8" s="45">
        <f>Revenue/Investment*100</f>
        <v>173.33333333333334</v>
      </c>
      <c r="T8" s="46">
        <f>EXP(y_inter1-(slope*LN(+S8)))</f>
        <v>9.0081805976767289</v>
      </c>
      <c r="U8" s="47">
        <f t="shared" si="0"/>
        <v>0.15614179702639666</v>
      </c>
      <c r="V8" s="47">
        <f>regDebt_weighted</f>
        <v>3.5860000000000003E-2</v>
      </c>
      <c r="W8" s="47">
        <f t="shared" si="1"/>
        <v>0.12028179702639666</v>
      </c>
      <c r="X8" s="47">
        <f>+((W8*(1-0.34))-Pfd_weighted)/Equity_percent</f>
        <v>0.21277902917855171</v>
      </c>
      <c r="Y8" s="47">
        <f>+Y7</f>
        <v>2.5000000000000001E-3</v>
      </c>
      <c r="Z8" s="47">
        <f t="shared" ref="Z8:Z9" si="6">+X8+Y8</f>
        <v>0.21527902917855171</v>
      </c>
      <c r="AA8" s="47">
        <f>Z8*equityP</f>
        <v>8.6111611671420688E-2</v>
      </c>
      <c r="AB8" s="47">
        <f>+AA8/(1-taxrate)</f>
        <v>0.10900204009040593</v>
      </c>
      <c r="AC8" s="47">
        <f>debtP*Debt_Rate</f>
        <v>0.03</v>
      </c>
      <c r="AD8" s="47">
        <f t="shared" si="2"/>
        <v>0.13900204009040593</v>
      </c>
      <c r="AE8" s="47">
        <f t="shared" si="3"/>
        <v>8.0193484667541878E-2</v>
      </c>
      <c r="AF8" s="47">
        <f t="shared" si="4"/>
        <v>0.91980651533245816</v>
      </c>
      <c r="AG8" s="48">
        <f>expenses/(AF8)</f>
        <v>53815665.767608248</v>
      </c>
      <c r="AH8" s="49">
        <f>+AG8-Revenue</f>
        <v>1815665.7676082477</v>
      </c>
      <c r="AI8" s="50">
        <f ca="1">+AH8/$J$49</f>
        <v>2009789.5626641221</v>
      </c>
      <c r="AJ8" s="50">
        <f ca="1">+AI8*$J$47</f>
        <v>40396.770209548857</v>
      </c>
      <c r="AK8" s="48">
        <f t="shared" ca="1" si="5"/>
        <v>53856062.537819996</v>
      </c>
    </row>
    <row r="9" spans="1:37" ht="15.6">
      <c r="A9" s="1"/>
      <c r="B9" s="24" t="s">
        <v>58</v>
      </c>
      <c r="C9" s="51">
        <v>0.05</v>
      </c>
      <c r="D9" s="19"/>
      <c r="E9" s="1"/>
      <c r="F9" s="43">
        <f t="shared" ref="F9:F49" si="7">+F8+1</f>
        <v>3</v>
      </c>
      <c r="G9" s="21"/>
      <c r="H9" s="34" t="s">
        <v>57</v>
      </c>
      <c r="I9" s="52">
        <f>+I7-I8</f>
        <v>2500000</v>
      </c>
      <c r="J9" s="15"/>
      <c r="K9" s="52">
        <f ca="1">+K7-K8</f>
        <v>4102754.8567344546</v>
      </c>
      <c r="L9" s="21"/>
      <c r="M9" s="53">
        <f ca="1">+M7-M8</f>
        <v>4102754.8567344546</v>
      </c>
      <c r="O9" s="30"/>
      <c r="P9" s="2"/>
      <c r="R9" s="55">
        <v>4</v>
      </c>
      <c r="S9" s="45">
        <f>Revenue/Investment*100</f>
        <v>173.33333333333334</v>
      </c>
      <c r="T9" s="46">
        <f>EXP(y_inter1-(slope*LN(+S9)))</f>
        <v>9.0081805976767289</v>
      </c>
      <c r="U9" s="47">
        <f t="shared" si="0"/>
        <v>0.15614179702639666</v>
      </c>
      <c r="V9" s="47">
        <f>regDebt_weighted</f>
        <v>3.5860000000000003E-2</v>
      </c>
      <c r="W9" s="47">
        <f t="shared" si="1"/>
        <v>0.12028179702639666</v>
      </c>
      <c r="X9" s="47">
        <f>+((W9*(1-0.34))-Pfd_weighted)/Equity_percent</f>
        <v>0.21277902917855171</v>
      </c>
      <c r="Y9" s="47">
        <f>+Y8</f>
        <v>2.5000000000000001E-3</v>
      </c>
      <c r="Z9" s="47">
        <f t="shared" si="6"/>
        <v>0.21527902917855171</v>
      </c>
      <c r="AA9" s="47">
        <f>Z9*equityP</f>
        <v>8.6111611671420688E-2</v>
      </c>
      <c r="AB9" s="47">
        <f>+AA9/(1-taxrate)</f>
        <v>0.10900204009040593</v>
      </c>
      <c r="AC9" s="47">
        <f>debtP*Debt_Rate</f>
        <v>0.03</v>
      </c>
      <c r="AD9" s="47">
        <f t="shared" si="2"/>
        <v>0.13900204009040593</v>
      </c>
      <c r="AE9" s="47">
        <f t="shared" si="3"/>
        <v>8.0193484667541878E-2</v>
      </c>
      <c r="AF9" s="47">
        <f t="shared" si="4"/>
        <v>0.91980651533245816</v>
      </c>
      <c r="AG9" s="48">
        <f>expenses/(AF9)</f>
        <v>53815665.767608248</v>
      </c>
      <c r="AH9" s="49">
        <f>+AG9-Revenue</f>
        <v>1815665.7676082477</v>
      </c>
      <c r="AI9" s="50">
        <f ca="1">+AH9/$J$49</f>
        <v>2009789.5626641221</v>
      </c>
      <c r="AJ9" s="50">
        <f ca="1">+AI9*$J$47</f>
        <v>40396.770209548857</v>
      </c>
      <c r="AK9" s="48">
        <f t="shared" ca="1" si="5"/>
        <v>53856062.537819996</v>
      </c>
    </row>
    <row r="10" spans="1:37" ht="15.6">
      <c r="A10" s="1"/>
      <c r="B10" s="199" t="s">
        <v>59</v>
      </c>
      <c r="C10" s="51">
        <v>0.21</v>
      </c>
      <c r="D10" s="19"/>
      <c r="E10" s="1"/>
      <c r="F10" s="43">
        <f t="shared" si="7"/>
        <v>4</v>
      </c>
      <c r="G10" s="21"/>
      <c r="H10" s="21"/>
      <c r="I10" s="15"/>
      <c r="J10" s="15"/>
      <c r="K10" s="35"/>
      <c r="L10" s="21"/>
      <c r="M10" s="21"/>
      <c r="O10" s="30"/>
      <c r="P10" s="1"/>
      <c r="R10" s="17" t="s">
        <v>61</v>
      </c>
    </row>
    <row r="11" spans="1:37" ht="15.6">
      <c r="A11" s="1"/>
      <c r="B11" s="24" t="s">
        <v>62</v>
      </c>
      <c r="C11" s="56">
        <v>1.4999999999999999E-2</v>
      </c>
      <c r="D11" s="19"/>
      <c r="E11" s="1"/>
      <c r="F11" s="43">
        <f t="shared" si="7"/>
        <v>5</v>
      </c>
      <c r="G11" s="21"/>
      <c r="H11" s="34" t="s">
        <v>60</v>
      </c>
      <c r="I11" s="35">
        <f>+K11</f>
        <v>900000</v>
      </c>
      <c r="J11" s="15"/>
      <c r="K11" s="35">
        <f>+M27</f>
        <v>900000</v>
      </c>
      <c r="L11" s="21"/>
      <c r="M11" s="35">
        <f>+K11</f>
        <v>900000</v>
      </c>
      <c r="O11" s="30"/>
      <c r="P11" s="1"/>
      <c r="R11" s="36">
        <v>1</v>
      </c>
      <c r="S11" s="37">
        <f ca="1">IF((AK6/Investment*100)&gt;0,(AK6/Investment*100),0)</f>
        <v>179.52020845940001</v>
      </c>
      <c r="T11" s="38">
        <f ca="1">EXP(y_inter1-(slope*LN(S11)))</f>
        <v>8.7947587814275838</v>
      </c>
      <c r="U11" s="39">
        <f ca="1">(+S11*T11/100)/100</f>
        <v>0.15788369297920188</v>
      </c>
      <c r="V11" s="39">
        <f>regDebt_weighted</f>
        <v>3.5860000000000003E-2</v>
      </c>
      <c r="W11" s="39">
        <f ca="1">+U11-V11</f>
        <v>0.12202369297920188</v>
      </c>
      <c r="X11" s="39">
        <f ca="1">+((W11*(1-0.34))-Pfd_weighted)/Equity_percent</f>
        <v>0.21612103885544545</v>
      </c>
      <c r="Y11" s="70">
        <f>+Y9</f>
        <v>2.5000000000000001E-3</v>
      </c>
      <c r="Z11" s="39">
        <f ca="1">+X11+Y11</f>
        <v>0.21862103885544545</v>
      </c>
      <c r="AA11" s="39">
        <f ca="1">Z11*equityP</f>
        <v>8.7448415542178193E-2</v>
      </c>
      <c r="AB11" s="39">
        <f ca="1">+AA11/(1-taxrate)</f>
        <v>0.11069419688883315</v>
      </c>
      <c r="AC11" s="39">
        <f>debtP*Debt_Rate</f>
        <v>0.03</v>
      </c>
      <c r="AD11" s="39">
        <f ca="1">+AC11+AB11</f>
        <v>0.14069419688883317</v>
      </c>
      <c r="AE11" s="39">
        <f ca="1">+AD11/(S11/100)</f>
        <v>7.8372344872055077E-2</v>
      </c>
      <c r="AF11" s="39">
        <f ca="1">1-AE11</f>
        <v>0.92162765512794498</v>
      </c>
      <c r="AG11" s="40">
        <f ca="1">expenses/(AF11)</f>
        <v>53709325.804820992</v>
      </c>
      <c r="AH11" s="41">
        <f ca="1">+AG11-Revenue</f>
        <v>1709325.8048209921</v>
      </c>
      <c r="AI11" s="42">
        <f ca="1">+AH11/$J$49</f>
        <v>1892080.1520904738</v>
      </c>
      <c r="AJ11" s="42">
        <f ca="1">+AI11*$J$47</f>
        <v>38030.811057018524</v>
      </c>
      <c r="AK11" s="40">
        <f ca="1">ROUND(+AJ11+AG11,5)</f>
        <v>53747356.615879998</v>
      </c>
    </row>
    <row r="12" spans="1:37" ht="15.6">
      <c r="A12" s="1"/>
      <c r="B12" s="24" t="s">
        <v>64</v>
      </c>
      <c r="C12" s="56">
        <v>5.1000000000000004E-3</v>
      </c>
      <c r="D12" s="19"/>
      <c r="E12" s="1"/>
      <c r="F12" s="43">
        <f t="shared" si="7"/>
        <v>6</v>
      </c>
      <c r="G12" s="21"/>
      <c r="H12" s="34" t="s">
        <v>63</v>
      </c>
      <c r="I12" s="35">
        <f ca="1">IF(I14&lt;0,0,+J38*I14)</f>
        <v>277685.95041322312</v>
      </c>
      <c r="J12" s="35">
        <f ca="1">+K12-I12</f>
        <v>394892.56950101233</v>
      </c>
      <c r="K12" s="35">
        <f ca="1">+(K9-K11)*taxrate</f>
        <v>672578.51991423545</v>
      </c>
      <c r="L12" s="21"/>
      <c r="M12" s="35">
        <f ca="1">+K12</f>
        <v>672578.51991423545</v>
      </c>
      <c r="O12" s="30"/>
      <c r="P12" s="1"/>
      <c r="R12" s="44">
        <v>2</v>
      </c>
      <c r="S12" s="45">
        <f ca="1">IF((AK7/Investment*100)&gt;0,(AK7/Investment*100),0)</f>
        <v>179.52020845940001</v>
      </c>
      <c r="T12" s="57">
        <f ca="1">EXP(y_inter2-(slope*LN(+S12)))</f>
        <v>8.669628587202995</v>
      </c>
      <c r="U12" s="47">
        <f ca="1">(+S12*T12/100)/100</f>
        <v>0.15563735312402552</v>
      </c>
      <c r="V12" s="47">
        <f>regDebt_weighted</f>
        <v>3.5860000000000003E-2</v>
      </c>
      <c r="W12" s="47">
        <f ca="1">+U12-V12</f>
        <v>0.11977735312402552</v>
      </c>
      <c r="X12" s="47">
        <f ca="1">+((W12*(1-0.34))-Pfd_weighted)/Equity_percent</f>
        <v>0.21181120076121174</v>
      </c>
      <c r="Y12" s="47">
        <f>+Y11</f>
        <v>2.5000000000000001E-3</v>
      </c>
      <c r="Z12" s="47">
        <f ca="1">+X12+Y12</f>
        <v>0.21431120076121174</v>
      </c>
      <c r="AA12" s="47">
        <f ca="1">Z12*equityP</f>
        <v>8.5724480304484707E-2</v>
      </c>
      <c r="AB12" s="47">
        <f ca="1">+AA12/(1-taxrate)</f>
        <v>0.10851200038542368</v>
      </c>
      <c r="AC12" s="47">
        <f>debtP*Debt_Rate</f>
        <v>0.03</v>
      </c>
      <c r="AD12" s="47">
        <f ca="1">+AC12+AB12</f>
        <v>0.13851200038542366</v>
      </c>
      <c r="AE12" s="47">
        <f ca="1">+AD12/(S12/100)</f>
        <v>7.7156773365016071E-2</v>
      </c>
      <c r="AF12" s="47">
        <f ca="1">1-AE12</f>
        <v>0.92284322663498397</v>
      </c>
      <c r="AG12" s="48">
        <f ca="1">expenses/(AF12)</f>
        <v>53638579.740672402</v>
      </c>
      <c r="AH12" s="49">
        <f ca="1">+AG12-Revenue</f>
        <v>1638579.7406724021</v>
      </c>
      <c r="AI12" s="50">
        <f ca="1">+AH12/$J$49</f>
        <v>1813770.1988700081</v>
      </c>
      <c r="AJ12" s="50">
        <f ca="1">+AI12*$J$47</f>
        <v>36456.780997287162</v>
      </c>
      <c r="AK12" s="48">
        <f t="shared" ref="AK12:AK14" ca="1" si="8">ROUND(+AJ12+AG12,5)</f>
        <v>53675036.521669999</v>
      </c>
    </row>
    <row r="13" spans="1:37" ht="15.6">
      <c r="A13" s="1"/>
      <c r="B13" s="24" t="s">
        <v>65</v>
      </c>
      <c r="C13" s="56">
        <v>0</v>
      </c>
      <c r="D13" s="19"/>
      <c r="E13" s="1"/>
      <c r="F13" s="43">
        <f t="shared" si="7"/>
        <v>7</v>
      </c>
      <c r="G13" s="21"/>
      <c r="H13" s="21"/>
      <c r="I13" s="15"/>
      <c r="J13" s="15"/>
      <c r="K13" s="35"/>
      <c r="L13" s="21"/>
      <c r="M13" s="21"/>
      <c r="O13" s="30"/>
      <c r="P13" s="1"/>
      <c r="R13" s="54">
        <v>3</v>
      </c>
      <c r="S13" s="45">
        <f ca="1">IF((AK8/Investment*100)&gt;0,(AK8/Investment*100),0)</f>
        <v>179.52020845940001</v>
      </c>
      <c r="T13" s="46">
        <f ca="1">EXP(y_inter3-(slope*LN(S13)))</f>
        <v>8.5853387422732848</v>
      </c>
      <c r="U13" s="47">
        <f ca="1">(+S13*T13/100)/100</f>
        <v>0.15412418007074632</v>
      </c>
      <c r="V13" s="47">
        <f>regDebt_weighted</f>
        <v>3.5860000000000003E-2</v>
      </c>
      <c r="W13" s="47">
        <f ca="1">+U13-V13</f>
        <v>0.11826418007074632</v>
      </c>
      <c r="X13" s="47">
        <f ca="1">+((W13*(1-0.34))-Pfd_weighted)/Equity_percent</f>
        <v>0.20890801990317609</v>
      </c>
      <c r="Y13" s="47">
        <f>+Y12</f>
        <v>2.5000000000000001E-3</v>
      </c>
      <c r="Z13" s="47">
        <f t="shared" ref="Z13:Z14" ca="1" si="9">+X13+Y13</f>
        <v>0.21140801990317609</v>
      </c>
      <c r="AA13" s="47">
        <f ca="1">Z13*equityP</f>
        <v>8.456320796127044E-2</v>
      </c>
      <c r="AB13" s="47">
        <f ca="1">+AA13/(1-taxrate)</f>
        <v>0.1070420353940132</v>
      </c>
      <c r="AC13" s="47">
        <f>debtP*Debt_Rate</f>
        <v>0.03</v>
      </c>
      <c r="AD13" s="47">
        <f ca="1">+AC13+AB13</f>
        <v>0.13704203539401322</v>
      </c>
      <c r="AE13" s="47">
        <f ca="1">+AD13/(S13/100)</f>
        <v>7.6337943549684789E-2</v>
      </c>
      <c r="AF13" s="47">
        <f ca="1">1-AE13</f>
        <v>0.92366205645031518</v>
      </c>
      <c r="AG13" s="48">
        <f ca="1">expenses/(AF13)</f>
        <v>53591028.942155816</v>
      </c>
      <c r="AH13" s="49">
        <f ca="1">+AG13-Revenue</f>
        <v>1591028.9421558157</v>
      </c>
      <c r="AI13" s="50">
        <f ca="1">+AH13/$J$49</f>
        <v>1761135.4572452491</v>
      </c>
      <c r="AJ13" s="50">
        <f ca="1">+AI13*$J$47</f>
        <v>35398.822690629509</v>
      </c>
      <c r="AK13" s="48">
        <f t="shared" ca="1" si="8"/>
        <v>53626427.764849998</v>
      </c>
    </row>
    <row r="14" spans="1:37" ht="16.2" thickBot="1">
      <c r="A14" s="1"/>
      <c r="B14" s="59" t="s">
        <v>67</v>
      </c>
      <c r="C14" s="60">
        <v>0</v>
      </c>
      <c r="D14" s="19"/>
      <c r="E14" s="1"/>
      <c r="F14" s="43">
        <f t="shared" si="7"/>
        <v>8</v>
      </c>
      <c r="G14" s="21"/>
      <c r="H14" s="21" t="s">
        <v>66</v>
      </c>
      <c r="I14" s="58">
        <f ca="1">+I9-SUM(I11:I13)</f>
        <v>1322314.0495867769</v>
      </c>
      <c r="J14" s="15"/>
      <c r="K14" s="58">
        <f ca="1">+K9-SUM(K11:K13)</f>
        <v>2530176.3368202192</v>
      </c>
      <c r="L14" s="21"/>
      <c r="M14" s="58">
        <f ca="1">+M9-SUM(M11:M13)</f>
        <v>2530176.3368202192</v>
      </c>
      <c r="O14" s="30"/>
      <c r="P14" s="1"/>
      <c r="R14" s="55">
        <v>4</v>
      </c>
      <c r="S14" s="45">
        <f ca="1">IF((AK9/Investment*100)&gt;0,(AK9/Investment*100),0)</f>
        <v>179.52020845940001</v>
      </c>
      <c r="T14" s="62">
        <f ca="1">EXP(y_inter4-(slope*LN(S14)))</f>
        <v>8.5314211270174098</v>
      </c>
      <c r="U14" s="47">
        <f ca="1">(+S14*T14/100)/100</f>
        <v>0.15315624991770949</v>
      </c>
      <c r="V14" s="47">
        <f>regDebt_weighted</f>
        <v>3.5860000000000003E-2</v>
      </c>
      <c r="W14" s="47">
        <f ca="1">+U14-V14</f>
        <v>0.11729624991770948</v>
      </c>
      <c r="X14" s="47">
        <f ca="1">+((W14*(1-0.34))-Pfd_weighted)/Equity_percent</f>
        <v>0.20705094460955889</v>
      </c>
      <c r="Y14" s="47">
        <f>+Y13</f>
        <v>2.5000000000000001E-3</v>
      </c>
      <c r="Z14" s="47">
        <f t="shared" ca="1" si="9"/>
        <v>0.20955094460955889</v>
      </c>
      <c r="AA14" s="47">
        <f ca="1">Z14*equityP</f>
        <v>8.3820377843823568E-2</v>
      </c>
      <c r="AB14" s="47">
        <f ca="1">+AA14/(1-taxrate)</f>
        <v>0.10610174410610577</v>
      </c>
      <c r="AC14" s="47">
        <f>debtP*Debt_Rate</f>
        <v>0.03</v>
      </c>
      <c r="AD14" s="47">
        <f ca="1">+AC14+AB14</f>
        <v>0.13610174410610576</v>
      </c>
      <c r="AE14" s="47">
        <f ca="1">+AD14/(S14/100)</f>
        <v>7.5814163360269443E-2</v>
      </c>
      <c r="AF14" s="47">
        <f ca="1">1-AE14</f>
        <v>0.92418583663973053</v>
      </c>
      <c r="AG14" s="48">
        <f ca="1">expenses/(AF14)</f>
        <v>53560656.350218736</v>
      </c>
      <c r="AH14" s="49">
        <f ca="1">+AG14-Revenue</f>
        <v>1560656.3502187356</v>
      </c>
      <c r="AI14" s="50">
        <f ca="1">+AH14/$J$49</f>
        <v>1727515.5480333182</v>
      </c>
      <c r="AJ14" s="50">
        <f ca="1">+AI14*$J$47</f>
        <v>34723.062515469697</v>
      </c>
      <c r="AK14" s="48">
        <f t="shared" ca="1" si="8"/>
        <v>53595379.412730001</v>
      </c>
    </row>
    <row r="15" spans="1:37" ht="16.2" thickTop="1">
      <c r="A15" s="1"/>
      <c r="B15" s="59" t="s">
        <v>114</v>
      </c>
      <c r="C15" s="175">
        <v>2.5000000000000001E-3</v>
      </c>
      <c r="D15" s="1"/>
      <c r="E15" s="1"/>
      <c r="F15" s="43">
        <f t="shared" si="7"/>
        <v>9</v>
      </c>
      <c r="G15" s="15"/>
      <c r="H15" s="15"/>
      <c r="I15" s="15"/>
      <c r="J15" s="15"/>
      <c r="K15" s="61"/>
      <c r="L15" s="15"/>
      <c r="M15" s="15"/>
      <c r="O15" s="30"/>
      <c r="P15" s="1"/>
      <c r="R15" s="17" t="s">
        <v>69</v>
      </c>
    </row>
    <row r="16" spans="1:37" ht="15.6">
      <c r="A16" s="1"/>
      <c r="B16" s="1"/>
      <c r="C16" s="1"/>
      <c r="D16" s="19" t="s">
        <v>70</v>
      </c>
      <c r="E16" s="1"/>
      <c r="F16" s="43">
        <f t="shared" si="7"/>
        <v>10</v>
      </c>
      <c r="G16" s="15"/>
      <c r="H16" s="34" t="s">
        <v>68</v>
      </c>
      <c r="I16" s="63">
        <f>+I8/I7</f>
        <v>0.95192307692307687</v>
      </c>
      <c r="J16" s="64"/>
      <c r="K16" s="63">
        <f ca="1">+K8/K7</f>
        <v>0.92346000000000006</v>
      </c>
      <c r="L16" s="65"/>
      <c r="M16" s="63">
        <f ca="1">+M8/M7</f>
        <v>0.92351088506870882</v>
      </c>
      <c r="O16" s="30"/>
      <c r="P16" s="1"/>
      <c r="R16" s="67">
        <v>1</v>
      </c>
      <c r="S16" s="68">
        <f ca="1">AK11/Investment*100</f>
        <v>179.15785538626665</v>
      </c>
      <c r="T16" s="69">
        <f ca="1">EXP(y_inter1-(slope*LN(+S16)))</f>
        <v>8.806915817965189</v>
      </c>
      <c r="U16" s="70">
        <f ca="1">(+S16*T16/100)/100</f>
        <v>0.15778281505140315</v>
      </c>
      <c r="V16" s="70">
        <f>regDebt_weighted</f>
        <v>3.5860000000000003E-2</v>
      </c>
      <c r="W16" s="70">
        <f ca="1">+U16-V16</f>
        <v>0.12192281505140315</v>
      </c>
      <c r="X16" s="70">
        <f ca="1">+((W16*(1-0.34))-Pfd_weighted)/Equity_percent</f>
        <v>0.21592749399397115</v>
      </c>
      <c r="Y16" s="70">
        <f>+Y14</f>
        <v>2.5000000000000001E-3</v>
      </c>
      <c r="Z16" s="39">
        <f ca="1">+X16+Y16</f>
        <v>0.21842749399397116</v>
      </c>
      <c r="AA16" s="39">
        <f ca="1">Z16*equityP</f>
        <v>8.7370997597588471E-2</v>
      </c>
      <c r="AB16" s="70">
        <f ca="1">+AA16/(1-taxrate)</f>
        <v>0.11059619949061832</v>
      </c>
      <c r="AC16" s="70">
        <f>debtP*Debt_Rate</f>
        <v>0.03</v>
      </c>
      <c r="AD16" s="70">
        <f ca="1">+AC16+AB16</f>
        <v>0.1405961994906183</v>
      </c>
      <c r="AE16" s="70">
        <f ca="1">+AD16/(S16/100)</f>
        <v>7.8476156787817691E-2</v>
      </c>
      <c r="AF16" s="70">
        <f ca="1">1-AE16</f>
        <v>0.92152384321218228</v>
      </c>
      <c r="AG16" s="71">
        <f ca="1">expenses/(AF16)</f>
        <v>53715376.291791238</v>
      </c>
      <c r="AH16" s="72">
        <f ca="1">+AG16-Revenue</f>
        <v>1715376.2917912379</v>
      </c>
      <c r="AI16" s="73">
        <f ca="1">+AH16/$J$49</f>
        <v>1898777.5331717141</v>
      </c>
      <c r="AJ16" s="73">
        <f ca="1">+AI16*$J$47</f>
        <v>38165.428416751449</v>
      </c>
      <c r="AK16" s="71">
        <f ca="1">ROUND(+AJ16+AG16,5)</f>
        <v>53753541.720210001</v>
      </c>
    </row>
    <row r="17" spans="1:37" ht="15.6">
      <c r="A17" s="1"/>
      <c r="B17" s="66" t="s">
        <v>138</v>
      </c>
      <c r="C17" s="200"/>
      <c r="D17" s="1" t="s">
        <v>71</v>
      </c>
      <c r="E17" s="1"/>
      <c r="F17" s="43">
        <f t="shared" si="7"/>
        <v>11</v>
      </c>
      <c r="G17" s="15"/>
      <c r="H17" s="15"/>
      <c r="I17" s="15"/>
      <c r="K17" s="15"/>
      <c r="L17" s="34"/>
      <c r="M17" s="34"/>
      <c r="N17" s="63"/>
      <c r="O17" s="1"/>
      <c r="P17" s="1"/>
      <c r="R17" s="44">
        <v>2</v>
      </c>
      <c r="S17" s="45">
        <f ca="1">AK12/Investment*100</f>
        <v>178.91678840556665</v>
      </c>
      <c r="T17" s="57">
        <f ca="1">EXP(y_inter2-(slope*LN(+S17)))</f>
        <v>8.6896080715310742</v>
      </c>
      <c r="U17" s="47">
        <f ca="1">(+S17*T17/100)/100</f>
        <v>0.15547167686614294</v>
      </c>
      <c r="V17" s="47">
        <f>regDebt_weighted</f>
        <v>3.5860000000000003E-2</v>
      </c>
      <c r="W17" s="47">
        <f ca="1">+U17-V17</f>
        <v>0.11961167686614294</v>
      </c>
      <c r="X17" s="47">
        <f ca="1">+((W17*(1-0.34))-Pfd_weighted)/Equity_percent</f>
        <v>0.21149333352225094</v>
      </c>
      <c r="Y17" s="47">
        <f>+Y16</f>
        <v>2.5000000000000001E-3</v>
      </c>
      <c r="Z17" s="47">
        <f ca="1">+X17+Y17</f>
        <v>0.21399333352225094</v>
      </c>
      <c r="AA17" s="47">
        <f ca="1">Z17*equityP</f>
        <v>8.5597333408900383E-2</v>
      </c>
      <c r="AB17" s="47">
        <f ca="1">+AA17/(1-taxrate)</f>
        <v>0.10835105494797516</v>
      </c>
      <c r="AC17" s="47">
        <f>debtP*Debt_Rate</f>
        <v>0.03</v>
      </c>
      <c r="AD17" s="47">
        <f ca="1">+AC17+AB17</f>
        <v>0.13835105494797517</v>
      </c>
      <c r="AE17" s="47">
        <f ca="1">+AD17/(S17/100)</f>
        <v>7.7327039111814655E-2</v>
      </c>
      <c r="AF17" s="47">
        <f ca="1">1-AE17</f>
        <v>0.9226729608881854</v>
      </c>
      <c r="AG17" s="48">
        <f ca="1">expenses/(AF17)</f>
        <v>53648477.952957682</v>
      </c>
      <c r="AH17" s="49">
        <f ca="1">+AG17-Revenue</f>
        <v>1648477.9529576823</v>
      </c>
      <c r="AI17" s="50">
        <f ca="1">+AH17/$J$49</f>
        <v>1824726.6888225588</v>
      </c>
      <c r="AJ17" s="50">
        <f ca="1">+AI17*$J$47</f>
        <v>36677.006445333434</v>
      </c>
      <c r="AK17" s="48">
        <f t="shared" ref="AK17:AK19" ca="1" si="10">ROUND(+AJ17+AG17,5)</f>
        <v>53685154.959399998</v>
      </c>
    </row>
    <row r="18" spans="1:37" ht="15.6">
      <c r="A18" s="1"/>
      <c r="B18" s="210"/>
      <c r="C18" s="210"/>
      <c r="D18" s="1"/>
      <c r="E18" s="1"/>
      <c r="F18" s="43">
        <f t="shared" si="7"/>
        <v>12</v>
      </c>
      <c r="G18" s="15"/>
      <c r="H18" s="189" t="s">
        <v>1</v>
      </c>
      <c r="I18" s="190"/>
      <c r="J18" s="190"/>
      <c r="K18" s="190"/>
      <c r="L18" s="190"/>
      <c r="M18" s="191"/>
      <c r="O18" s="1"/>
      <c r="P18" s="1"/>
      <c r="R18" s="54">
        <v>3</v>
      </c>
      <c r="S18" s="45">
        <f ca="1">AK13/Investment*100</f>
        <v>178.75475921616666</v>
      </c>
      <c r="T18" s="46">
        <f ca="1">EXP(y_inter3-(slope*LN(S18)))</f>
        <v>8.6104558168726495</v>
      </c>
      <c r="U18" s="47">
        <f ca="1">(+S18*T18/100)/100</f>
        <v>0.15391599562865121</v>
      </c>
      <c r="V18" s="47">
        <f>regDebt_weighted</f>
        <v>3.5860000000000003E-2</v>
      </c>
      <c r="W18" s="47">
        <f ca="1">+U18-V18</f>
        <v>0.11805599562865121</v>
      </c>
      <c r="X18" s="47">
        <f ca="1">+((W18*(1-0.34))-Pfd_weighted)/Equity_percent</f>
        <v>0.20850859626427265</v>
      </c>
      <c r="Y18" s="47">
        <f>+Y17</f>
        <v>2.5000000000000001E-3</v>
      </c>
      <c r="Z18" s="47">
        <f t="shared" ref="Z18:Z19" ca="1" si="11">+X18+Y18</f>
        <v>0.21100859626427265</v>
      </c>
      <c r="AA18" s="47">
        <f ca="1">Z18*equityP</f>
        <v>8.4403438505709069E-2</v>
      </c>
      <c r="AB18" s="47">
        <f ca="1">+AA18/(1-taxrate)</f>
        <v>0.10683979557684692</v>
      </c>
      <c r="AC18" s="47">
        <f>debtP*Debt_Rate</f>
        <v>0.03</v>
      </c>
      <c r="AD18" s="47">
        <f ca="1">+AC18+AB18</f>
        <v>0.13683979557684692</v>
      </c>
      <c r="AE18" s="47">
        <f ca="1">+AD18/(S18/100)</f>
        <v>7.6551693603507179E-2</v>
      </c>
      <c r="AF18" s="47">
        <f ca="1">1-AE18</f>
        <v>0.92344830639649278</v>
      </c>
      <c r="AG18" s="48">
        <f ca="1">expenses/(AF18)</f>
        <v>53603433.627119161</v>
      </c>
      <c r="AH18" s="49">
        <f ca="1">+AG18-Revenue</f>
        <v>1603433.6271191612</v>
      </c>
      <c r="AI18" s="50">
        <f ca="1">+AH18/$J$49</f>
        <v>1774866.4020106557</v>
      </c>
      <c r="AJ18" s="50">
        <f ca="1">+AI18*$J$47</f>
        <v>35674.81468041418</v>
      </c>
      <c r="AK18" s="48">
        <f t="shared" ca="1" si="10"/>
        <v>53639108.441799998</v>
      </c>
    </row>
    <row r="19" spans="1:37" ht="15.6">
      <c r="A19" s="1"/>
      <c r="B19" s="211" t="s">
        <v>129</v>
      </c>
      <c r="C19" s="211"/>
      <c r="D19" s="1"/>
      <c r="E19" s="1"/>
      <c r="F19" s="43">
        <f t="shared" si="7"/>
        <v>13</v>
      </c>
      <c r="G19" s="15"/>
      <c r="H19" s="183"/>
      <c r="I19" s="75" t="s">
        <v>126</v>
      </c>
      <c r="J19" s="76">
        <f>+Revenue</f>
        <v>52000000</v>
      </c>
      <c r="K19" s="77"/>
      <c r="L19" s="75" t="s">
        <v>139</v>
      </c>
      <c r="M19" s="192">
        <f ca="1">+J7</f>
        <v>1602754.8567344546</v>
      </c>
      <c r="O19" s="1"/>
      <c r="P19" s="1"/>
      <c r="R19" s="55">
        <v>4</v>
      </c>
      <c r="S19" s="45">
        <f ca="1">AK14/Investment*100</f>
        <v>178.65126470909999</v>
      </c>
      <c r="T19" s="62">
        <f ca="1">EXP(y_inter4-(slope*LN(S19)))</f>
        <v>8.5597689656727578</v>
      </c>
      <c r="U19" s="47">
        <f ca="1">(+S19*T19/100)/100</f>
        <v>0.15292135513351429</v>
      </c>
      <c r="V19" s="47">
        <f>regDebt_weighted</f>
        <v>3.5860000000000003E-2</v>
      </c>
      <c r="W19" s="47">
        <f ca="1">+U19-V19</f>
        <v>0.11706135513351429</v>
      </c>
      <c r="X19" s="47">
        <f ca="1">+((W19*(1-0.34))-Pfd_weighted)/Equity_percent</f>
        <v>0.20660027438406811</v>
      </c>
      <c r="Y19" s="47">
        <f>+Y18</f>
        <v>2.5000000000000001E-3</v>
      </c>
      <c r="Z19" s="47">
        <f t="shared" ca="1" si="11"/>
        <v>0.20910027438406811</v>
      </c>
      <c r="AA19" s="47">
        <f ca="1">Z19*equityP</f>
        <v>8.3640109753627248E-2</v>
      </c>
      <c r="AB19" s="47">
        <f ca="1">+AA19/(1-taxrate)</f>
        <v>0.10587355665016107</v>
      </c>
      <c r="AC19" s="47">
        <f>debtP*Debt_Rate</f>
        <v>0.03</v>
      </c>
      <c r="AD19" s="47">
        <f ca="1">+AC19+AB19</f>
        <v>0.13587355665016107</v>
      </c>
      <c r="AE19" s="47">
        <f ca="1">+AD19/(S19/100)</f>
        <v>7.6055188789962175E-2</v>
      </c>
      <c r="AF19" s="47">
        <f ca="1">1-AE19</f>
        <v>0.9239448112100378</v>
      </c>
      <c r="AG19" s="48">
        <f ca="1">expenses/(AF19)</f>
        <v>53574628.483678237</v>
      </c>
      <c r="AH19" s="49">
        <f ca="1">+AG19-Revenue</f>
        <v>1574628.4836782366</v>
      </c>
      <c r="AI19" s="50">
        <f ca="1">+AH19/$J$49</f>
        <v>1742981.5266820462</v>
      </c>
      <c r="AJ19" s="50">
        <f ca="1">+AI19*$J$47</f>
        <v>35033.928686309126</v>
      </c>
      <c r="AK19" s="48">
        <f t="shared" ca="1" si="10"/>
        <v>53609662.412359998</v>
      </c>
    </row>
    <row r="20" spans="1:37" ht="15.6">
      <c r="A20" s="1"/>
      <c r="B20" s="74"/>
      <c r="C20" s="1"/>
      <c r="D20" s="1"/>
      <c r="E20" s="1"/>
      <c r="F20" s="43">
        <f t="shared" si="7"/>
        <v>14</v>
      </c>
      <c r="G20" s="15"/>
      <c r="H20" s="183"/>
      <c r="I20" s="75" t="s">
        <v>73</v>
      </c>
      <c r="J20" s="76">
        <f ca="1">+J21-J19</f>
        <v>1638414.5694441497</v>
      </c>
      <c r="K20" s="203"/>
      <c r="L20" s="75" t="s">
        <v>72</v>
      </c>
      <c r="M20" s="192">
        <f ca="1">+L8</f>
        <v>35659.712709696265</v>
      </c>
      <c r="O20" s="1"/>
      <c r="P20" s="1"/>
      <c r="R20" s="17" t="s">
        <v>74</v>
      </c>
    </row>
    <row r="21" spans="1:37" ht="16.2" thickBot="1">
      <c r="A21" s="1"/>
      <c r="B21" s="74"/>
      <c r="C21" s="74"/>
      <c r="D21" s="1"/>
      <c r="E21" s="1"/>
      <c r="F21" s="43">
        <f t="shared" si="7"/>
        <v>15</v>
      </c>
      <c r="G21" s="15"/>
      <c r="H21" s="183"/>
      <c r="I21" s="187" t="s">
        <v>1</v>
      </c>
      <c r="J21" s="188">
        <f ca="1">+M7</f>
        <v>53638414.56944415</v>
      </c>
      <c r="K21" s="116"/>
      <c r="L21" s="187" t="s">
        <v>73</v>
      </c>
      <c r="M21" s="193">
        <f ca="1">+M19+M20</f>
        <v>1638414.5694441509</v>
      </c>
      <c r="O21" s="1"/>
      <c r="P21" s="1"/>
      <c r="R21" s="67">
        <v>1</v>
      </c>
      <c r="S21" s="68">
        <f ca="1">AK16/Investment*100</f>
        <v>179.1784724007</v>
      </c>
      <c r="T21" s="69">
        <f ca="1">EXP(y_inter1-(slope*LN(+S21)))</f>
        <v>8.8062230014725049</v>
      </c>
      <c r="U21" s="70">
        <f ca="1">(+S21*T21/100)/100</f>
        <v>0.15778855850237508</v>
      </c>
      <c r="V21" s="70">
        <f>regDebt_weighted</f>
        <v>3.5860000000000003E-2</v>
      </c>
      <c r="W21" s="70">
        <f ca="1">+U21-V21</f>
        <v>0.12192855850237508</v>
      </c>
      <c r="X21" s="70">
        <f ca="1">+((W21*(1-0.34))-Pfd_weighted)/Equity_percent</f>
        <v>0.21593851340571962</v>
      </c>
      <c r="Y21" s="70">
        <f>+Y19</f>
        <v>2.5000000000000001E-3</v>
      </c>
      <c r="Z21" s="39">
        <f ca="1">+X21+Y21</f>
        <v>0.21843851340571963</v>
      </c>
      <c r="AA21" s="39">
        <f ca="1">Z21*equityP</f>
        <v>8.7375405362287856E-2</v>
      </c>
      <c r="AB21" s="70">
        <f ca="1">+AA21/(1-taxrate)</f>
        <v>0.11060177893960488</v>
      </c>
      <c r="AC21" s="70">
        <f>debtP*Debt_Rate</f>
        <v>0.03</v>
      </c>
      <c r="AD21" s="70">
        <f ca="1">+AC21+AB21</f>
        <v>0.14060177893960488</v>
      </c>
      <c r="AE21" s="70">
        <f ca="1">+AD21/(S21/100)</f>
        <v>7.8470240903256855E-2</v>
      </c>
      <c r="AF21" s="70">
        <f ca="1">1-AE21</f>
        <v>0.92152975909674317</v>
      </c>
      <c r="AG21" s="71">
        <f ca="1">expenses/(AF21)</f>
        <v>53715031.458689377</v>
      </c>
      <c r="AH21" s="72">
        <f ca="1">+AG21-Revenue</f>
        <v>1715031.4586893767</v>
      </c>
      <c r="AI21" s="73">
        <f ca="1">+AH21/$J$49</f>
        <v>1898395.8318799094</v>
      </c>
      <c r="AJ21" s="73">
        <f ca="1">+AI21*$J$47</f>
        <v>38157.756220786177</v>
      </c>
      <c r="AK21" s="71">
        <f ca="1">ROUND(+AJ21+AG21,5)</f>
        <v>53753189.214910001</v>
      </c>
    </row>
    <row r="22" spans="1:37" ht="21" customHeight="1" thickTop="1">
      <c r="A22" s="1"/>
      <c r="B22" s="74"/>
      <c r="C22" s="1"/>
      <c r="D22" s="1"/>
      <c r="E22" s="1"/>
      <c r="F22" s="43">
        <f t="shared" si="7"/>
        <v>16</v>
      </c>
      <c r="G22" s="15"/>
      <c r="H22" s="152"/>
      <c r="I22" s="125"/>
      <c r="J22" s="204" t="s">
        <v>141</v>
      </c>
      <c r="K22" s="205">
        <f ca="1">+(J21/J19)-1</f>
        <v>3.1507972489310587E-2</v>
      </c>
      <c r="L22" s="125"/>
      <c r="M22" s="126"/>
      <c r="O22" s="1"/>
      <c r="P22" s="1"/>
      <c r="R22" s="44">
        <v>2</v>
      </c>
      <c r="S22" s="45">
        <f ca="1">AK17/Investment*100</f>
        <v>178.95051653133334</v>
      </c>
      <c r="T22" s="57">
        <f ca="1">EXP(y_inter2-(slope*LN(+S22)))</f>
        <v>8.688488327098689</v>
      </c>
      <c r="U22" s="47">
        <f ca="1">(+S22*T22/100)/100</f>
        <v>0.15548094740107707</v>
      </c>
      <c r="V22" s="47">
        <f>regDebt_weighted</f>
        <v>3.5860000000000003E-2</v>
      </c>
      <c r="W22" s="47">
        <f ca="1">+U22-V22</f>
        <v>0.11962094740107707</v>
      </c>
      <c r="X22" s="47">
        <f ca="1">+((W22*(1-0.34))-Pfd_weighted)/Equity_percent</f>
        <v>0.21151112001369435</v>
      </c>
      <c r="Y22" s="47">
        <f>+Y21</f>
        <v>2.5000000000000001E-3</v>
      </c>
      <c r="Z22" s="47">
        <f ca="1">+X22+Y22</f>
        <v>0.21401112001369435</v>
      </c>
      <c r="AA22" s="47">
        <f ca="1">Z22*equityP</f>
        <v>8.5604448005477743E-2</v>
      </c>
      <c r="AB22" s="47">
        <f ca="1">+AA22/(1-taxrate)</f>
        <v>0.10836006076642751</v>
      </c>
      <c r="AC22" s="47">
        <f>debtP*Debt_Rate</f>
        <v>0.03</v>
      </c>
      <c r="AD22" s="47">
        <f ca="1">+AC22+AB22</f>
        <v>0.13836006076642751</v>
      </c>
      <c r="AE22" s="47">
        <f ca="1">+AD22/(S22/100)</f>
        <v>7.7317497288252504E-2</v>
      </c>
      <c r="AF22" s="47">
        <f ca="1">1-AE22</f>
        <v>0.92268250271174745</v>
      </c>
      <c r="AG22" s="48">
        <f ca="1">expenses/(AF22)</f>
        <v>53647923.152894288</v>
      </c>
      <c r="AH22" s="49">
        <f ca="1">+AG22-Revenue</f>
        <v>1647923.1528942883</v>
      </c>
      <c r="AI22" s="50">
        <f ca="1">+AH22/$J$49</f>
        <v>1824112.5717330223</v>
      </c>
      <c r="AJ22" s="50">
        <f ca="1">+AI22*$J$47</f>
        <v>36664.66269183375</v>
      </c>
      <c r="AK22" s="48">
        <f t="shared" ref="AK22:AK24" ca="1" si="12">ROUND(+AJ22+AG22,5)</f>
        <v>53684587.815590002</v>
      </c>
    </row>
    <row r="23" spans="1:37" ht="15.6">
      <c r="A23" s="1"/>
      <c r="B23" s="177" t="s">
        <v>15</v>
      </c>
      <c r="C23" s="176"/>
      <c r="D23" s="176"/>
      <c r="E23" s="176"/>
      <c r="F23" s="43">
        <f t="shared" si="7"/>
        <v>17</v>
      </c>
      <c r="H23" s="15"/>
      <c r="I23" s="15"/>
      <c r="J23" s="15"/>
      <c r="K23" s="15"/>
      <c r="L23" s="15"/>
      <c r="M23" s="15"/>
      <c r="N23" s="15"/>
      <c r="O23" s="1"/>
      <c r="P23" s="1"/>
      <c r="R23" s="54">
        <v>3</v>
      </c>
      <c r="S23" s="45">
        <f ca="1">AK18/Investment*100</f>
        <v>178.79702813933335</v>
      </c>
      <c r="T23" s="46">
        <f ca="1">EXP(y_inter3-(slope*LN(S23)))</f>
        <v>8.6090641035202005</v>
      </c>
      <c r="U23" s="47">
        <f ca="1">(+S23*T23/100)/100</f>
        <v>0.15392750767704258</v>
      </c>
      <c r="V23" s="47">
        <f>regDebt_weighted</f>
        <v>3.5860000000000003E-2</v>
      </c>
      <c r="W23" s="47">
        <f ca="1">+U23-V23</f>
        <v>0.11806750767704258</v>
      </c>
      <c r="X23" s="47">
        <f ca="1">+((W23*(1-0.34))-Pfd_weighted)/Equity_percent</f>
        <v>0.20853068333386074</v>
      </c>
      <c r="Y23" s="47">
        <f>+Y22</f>
        <v>2.5000000000000001E-3</v>
      </c>
      <c r="Z23" s="47">
        <f t="shared" ref="Z23:Z24" ca="1" si="13">+X23+Y23</f>
        <v>0.21103068333386074</v>
      </c>
      <c r="AA23" s="47">
        <f ca="1">Z23*equityP</f>
        <v>8.4412273333544299E-2</v>
      </c>
      <c r="AB23" s="47">
        <f ca="1">+AA23/(1-taxrate)</f>
        <v>0.10685097890322062</v>
      </c>
      <c r="AC23" s="47">
        <f>debtP*Debt_Rate</f>
        <v>0.03</v>
      </c>
      <c r="AD23" s="47">
        <f ca="1">+AC23+AB23</f>
        <v>0.13685097890322062</v>
      </c>
      <c r="AE23" s="47">
        <f ca="1">+AD23/(S23/100)</f>
        <v>7.6539850984869318E-2</v>
      </c>
      <c r="AF23" s="47">
        <f ca="1">1-AE23</f>
        <v>0.92346014901513063</v>
      </c>
      <c r="AG23" s="48">
        <f ca="1">expenses/(AF23)</f>
        <v>53602746.207068816</v>
      </c>
      <c r="AH23" s="49">
        <f ca="1">+AG23-Revenue</f>
        <v>1602746.2070688158</v>
      </c>
      <c r="AI23" s="50">
        <f ca="1">+AH23/$J$49</f>
        <v>1774105.485730249</v>
      </c>
      <c r="AJ23" s="50">
        <f ca="1">+AI23*$J$47</f>
        <v>35659.520263178005</v>
      </c>
      <c r="AK23" s="48">
        <f t="shared" ca="1" si="12"/>
        <v>53638405.727329999</v>
      </c>
    </row>
    <row r="24" spans="1:37" ht="15.6">
      <c r="A24" s="1"/>
      <c r="B24" s="178" t="s">
        <v>115</v>
      </c>
      <c r="C24" s="176"/>
      <c r="D24" s="176"/>
      <c r="E24" s="176"/>
      <c r="F24" s="43">
        <f t="shared" si="7"/>
        <v>18</v>
      </c>
      <c r="H24" s="181" t="s">
        <v>75</v>
      </c>
      <c r="K24" s="78" t="s">
        <v>76</v>
      </c>
      <c r="L24" s="78"/>
      <c r="M24" s="78"/>
      <c r="N24" s="78"/>
      <c r="O24" s="1"/>
      <c r="P24" s="1"/>
      <c r="R24" s="55">
        <v>4</v>
      </c>
      <c r="S24" s="45">
        <f ca="1">AK19/Investment*100</f>
        <v>178.69887470786665</v>
      </c>
      <c r="T24" s="62">
        <f ca="1">EXP(y_inter4-(slope*LN(S24)))</f>
        <v>8.558209760664278</v>
      </c>
      <c r="U24" s="47">
        <f ca="1">(+S24*T24/100)/100</f>
        <v>0.15293424537445871</v>
      </c>
      <c r="V24" s="47">
        <f>regDebt_weighted</f>
        <v>3.5860000000000003E-2</v>
      </c>
      <c r="W24" s="47">
        <f ca="1">+U24-V24</f>
        <v>0.11707424537445871</v>
      </c>
      <c r="X24" s="47">
        <f ca="1">+((W24*(1-0.34))-Pfd_weighted)/Equity_percent</f>
        <v>0.20662500566029868</v>
      </c>
      <c r="Y24" s="47">
        <f>+Y23</f>
        <v>2.5000000000000001E-3</v>
      </c>
      <c r="Z24" s="47">
        <f t="shared" ca="1" si="13"/>
        <v>0.20912500566029868</v>
      </c>
      <c r="AA24" s="47">
        <f ca="1">Z24*equityP</f>
        <v>8.3650002264119477E-2</v>
      </c>
      <c r="AB24" s="47">
        <f ca="1">+AA24/(1-taxrate)</f>
        <v>0.10588607881534111</v>
      </c>
      <c r="AC24" s="47">
        <f>debtP*Debt_Rate</f>
        <v>0.03</v>
      </c>
      <c r="AD24" s="47">
        <f ca="1">+AC24+AB24</f>
        <v>0.13588607881534109</v>
      </c>
      <c r="AE24" s="47">
        <f ca="1">+AD24/(S24/100)</f>
        <v>7.6041933133314324E-2</v>
      </c>
      <c r="AF24" s="47">
        <f ca="1">1-AE24</f>
        <v>0.92395806686668569</v>
      </c>
      <c r="AG24" s="48">
        <f ca="1">expenses/(AF24)</f>
        <v>53573859.869922176</v>
      </c>
      <c r="AH24" s="49">
        <f ca="1">+AG24-Revenue</f>
        <v>1573859.869922176</v>
      </c>
      <c r="AI24" s="50">
        <f ca="1">+AH24/$J$49</f>
        <v>1742130.7357863816</v>
      </c>
      <c r="AJ24" s="50">
        <f ca="1">+AI24*$J$47</f>
        <v>35016.82778930627</v>
      </c>
      <c r="AK24" s="48">
        <f t="shared" ca="1" si="12"/>
        <v>53608876.69771</v>
      </c>
    </row>
    <row r="25" spans="1:37" ht="15.6">
      <c r="A25" s="1"/>
      <c r="B25" s="178" t="s">
        <v>116</v>
      </c>
      <c r="C25" s="176"/>
      <c r="D25" s="176"/>
      <c r="E25" s="176"/>
      <c r="F25" s="43">
        <f t="shared" si="7"/>
        <v>19</v>
      </c>
      <c r="H25" s="79" t="s">
        <v>77</v>
      </c>
      <c r="I25" s="80" t="s">
        <v>78</v>
      </c>
      <c r="J25" s="81" t="s">
        <v>79</v>
      </c>
      <c r="K25" s="79" t="s">
        <v>112</v>
      </c>
      <c r="L25" s="81" t="s">
        <v>81</v>
      </c>
      <c r="M25" s="81" t="s">
        <v>79</v>
      </c>
      <c r="O25" s="1"/>
      <c r="P25" s="1"/>
      <c r="R25" s="17" t="s">
        <v>82</v>
      </c>
      <c r="W25" s="84"/>
      <c r="X25" s="85"/>
      <c r="Y25" s="85"/>
      <c r="Z25" s="85"/>
      <c r="AA25" s="86"/>
      <c r="AB25" s="86"/>
      <c r="AC25" s="85"/>
      <c r="AE25" s="85"/>
      <c r="AF25" s="85"/>
      <c r="AG25" s="86"/>
      <c r="AH25" s="84"/>
    </row>
    <row r="26" spans="1:37" ht="15.6">
      <c r="A26" s="1"/>
      <c r="B26" s="178" t="s">
        <v>117</v>
      </c>
      <c r="C26" s="176"/>
      <c r="D26" s="176"/>
      <c r="E26" s="176"/>
      <c r="F26" s="43">
        <f t="shared" si="7"/>
        <v>20</v>
      </c>
      <c r="H26" s="34" t="s">
        <v>48</v>
      </c>
      <c r="I26" s="82">
        <f>1-I27</f>
        <v>0.4</v>
      </c>
      <c r="J26" s="83">
        <f>+I26*J28</f>
        <v>12000000</v>
      </c>
      <c r="K26" s="63">
        <f ca="1">+K34</f>
        <v>0.2108480280683516</v>
      </c>
      <c r="L26" s="82">
        <f ca="1">+K26*I26</f>
        <v>8.4339211227340644E-2</v>
      </c>
      <c r="M26" s="35">
        <f ca="1">+J26*K26</f>
        <v>2530176.3368202192</v>
      </c>
      <c r="O26" s="1"/>
      <c r="P26" s="1"/>
      <c r="R26" s="67">
        <v>1</v>
      </c>
      <c r="S26" s="68">
        <f ca="1">AK21/Investment*100</f>
        <v>179.17729738303333</v>
      </c>
      <c r="T26" s="69">
        <f ca="1">EXP(y_inter1-(slope*LN(+S26)))</f>
        <v>8.8062624832927003</v>
      </c>
      <c r="U26" s="70">
        <f ca="1">(+S26*T26/100)/100</f>
        <v>0.15778823118019855</v>
      </c>
      <c r="V26" s="70">
        <f>regDebt_weighted</f>
        <v>3.5860000000000003E-2</v>
      </c>
      <c r="W26" s="70">
        <f ca="1">+U26-V26</f>
        <v>0.12192823118019855</v>
      </c>
      <c r="X26" s="70">
        <f ca="1">+((W26*(1-0.34))-Pfd_weighted)/Equity_percent</f>
        <v>0.2159378854038693</v>
      </c>
      <c r="Y26" s="70">
        <f>+Y24</f>
        <v>2.5000000000000001E-3</v>
      </c>
      <c r="Z26" s="39">
        <f ca="1">+X26+Y26</f>
        <v>0.2184378854038693</v>
      </c>
      <c r="AA26" s="39">
        <f ca="1">Z26*equityP</f>
        <v>8.737515416154773E-2</v>
      </c>
      <c r="AB26" s="70">
        <f ca="1">+AA26/(1-taxrate)</f>
        <v>0.11060146096398446</v>
      </c>
      <c r="AC26" s="70">
        <f>debtP*Debt_Rate</f>
        <v>0.03</v>
      </c>
      <c r="AD26" s="70">
        <f ca="1">+AC26+AB26</f>
        <v>0.14060146096398446</v>
      </c>
      <c r="AE26" s="70">
        <f ca="1">+AD26/(S26/100)</f>
        <v>7.8470578035015212E-2</v>
      </c>
      <c r="AF26" s="70">
        <f ca="1">1-AE26</f>
        <v>0.92152942196498477</v>
      </c>
      <c r="AG26" s="71">
        <f ca="1">expenses/(AF26)</f>
        <v>53715051.109763533</v>
      </c>
      <c r="AH26" s="72">
        <f ca="1">+AG26-Revenue</f>
        <v>1715051.1097635329</v>
      </c>
      <c r="AI26" s="73">
        <f ca="1">+AH26/$J$49</f>
        <v>1898417.5839691092</v>
      </c>
      <c r="AJ26" s="73">
        <f ca="1">+AI26*$J$47</f>
        <v>38158.193437779097</v>
      </c>
      <c r="AK26" s="71">
        <f ca="1">ROUND(+AJ26+AG26,5)</f>
        <v>53753209.303199999</v>
      </c>
    </row>
    <row r="27" spans="1:37" ht="15.6">
      <c r="A27" s="1"/>
      <c r="B27" s="178" t="s">
        <v>118</v>
      </c>
      <c r="C27" s="176"/>
      <c r="D27" s="176"/>
      <c r="E27" s="176"/>
      <c r="F27" s="43">
        <f t="shared" si="7"/>
        <v>21</v>
      </c>
      <c r="H27" s="34" t="s">
        <v>50</v>
      </c>
      <c r="I27" s="82">
        <f>IF(A64=TRUE,C8,0)</f>
        <v>0.6</v>
      </c>
      <c r="J27" s="87">
        <f>+I27*J28</f>
        <v>18000000</v>
      </c>
      <c r="K27" s="63">
        <f>IF(A64=TRUE,C9,0)</f>
        <v>0.05</v>
      </c>
      <c r="L27" s="82">
        <f>+K27*I27</f>
        <v>0.03</v>
      </c>
      <c r="M27" s="76">
        <f>+K27*J27</f>
        <v>900000</v>
      </c>
      <c r="O27" s="1"/>
      <c r="P27" s="1"/>
      <c r="R27" s="44">
        <v>2</v>
      </c>
      <c r="S27" s="45">
        <f ca="1">AK22/Investment*100</f>
        <v>178.94862605196667</v>
      </c>
      <c r="T27" s="57">
        <f ca="1">EXP(y_inter2-(slope*LN(+S27)))</f>
        <v>8.6885510799686667</v>
      </c>
      <c r="U27" s="47">
        <f ca="1">(+S27*T27/100)/100</f>
        <v>0.1554804278142724</v>
      </c>
      <c r="V27" s="47">
        <f>regDebt_weighted</f>
        <v>3.5860000000000003E-2</v>
      </c>
      <c r="W27" s="47">
        <f ca="1">+U27-V27</f>
        <v>0.1196204278142724</v>
      </c>
      <c r="X27" s="47">
        <f ca="1">+((W27*(1-0.34))-Pfd_weighted)/Equity_percent</f>
        <v>0.21151012313203424</v>
      </c>
      <c r="Y27" s="47">
        <f>+Y26</f>
        <v>2.5000000000000001E-3</v>
      </c>
      <c r="Z27" s="47">
        <f ca="1">+X27+Y27</f>
        <v>0.21401012313203424</v>
      </c>
      <c r="AA27" s="47">
        <f ca="1">Z27*equityP</f>
        <v>8.5604049252813702E-2</v>
      </c>
      <c r="AB27" s="47">
        <f ca="1">+AA27/(1-taxrate)</f>
        <v>0.10835955601621987</v>
      </c>
      <c r="AC27" s="47">
        <f>debtP*Debt_Rate</f>
        <v>0.03</v>
      </c>
      <c r="AD27" s="47">
        <f ca="1">+AC27+AB27</f>
        <v>0.13835955601621985</v>
      </c>
      <c r="AE27" s="47">
        <f ca="1">+AD27/(S27/100)</f>
        <v>7.7318032034535009E-2</v>
      </c>
      <c r="AF27" s="47">
        <f ca="1">1-AE27</f>
        <v>0.92268196796546498</v>
      </c>
      <c r="AG27" s="48">
        <f ca="1">expenses/(AF27)</f>
        <v>53647954.244893983</v>
      </c>
      <c r="AH27" s="49">
        <f ca="1">+AG27-Revenue</f>
        <v>1647954.244893983</v>
      </c>
      <c r="AI27" s="50">
        <f ca="1">+AH27/$J$49</f>
        <v>1824146.9879662211</v>
      </c>
      <c r="AJ27" s="50">
        <f ca="1">+AI27*$J$47</f>
        <v>36665.354458121044</v>
      </c>
      <c r="AK27" s="48">
        <f t="shared" ref="AK27:AK29" ca="1" si="14">ROUND(+AJ27+AG27,5)</f>
        <v>53684619.599349998</v>
      </c>
    </row>
    <row r="28" spans="1:37" ht="16.2" thickBot="1">
      <c r="A28" s="1"/>
      <c r="B28" s="1"/>
      <c r="C28" s="1"/>
      <c r="D28" s="1"/>
      <c r="E28" s="1"/>
      <c r="F28" s="43">
        <f t="shared" si="7"/>
        <v>22</v>
      </c>
      <c r="H28" s="34" t="s">
        <v>83</v>
      </c>
      <c r="I28" s="82">
        <f>SUM(I26:I27)</f>
        <v>1</v>
      </c>
      <c r="J28" s="88">
        <f>IF(A64=TRUE,C7,0)</f>
        <v>30000000</v>
      </c>
      <c r="K28" s="89"/>
      <c r="L28" s="90">
        <f ca="1">SUM(L26:L27)</f>
        <v>0.11433921122734064</v>
      </c>
      <c r="M28" s="88">
        <f ca="1">SUM(M26:M27)</f>
        <v>3430176.3368202192</v>
      </c>
      <c r="O28" s="1"/>
      <c r="P28" s="1"/>
      <c r="R28" s="54">
        <v>3</v>
      </c>
      <c r="S28" s="45">
        <f ca="1">AK23/Investment*100</f>
        <v>178.79468575776667</v>
      </c>
      <c r="T28" s="46">
        <f ca="1">EXP(y_inter3-(slope*LN(S28)))</f>
        <v>8.6091412124366293</v>
      </c>
      <c r="U28" s="47">
        <f ca="1">(+S28*T28/100)/100</f>
        <v>0.15392686977218456</v>
      </c>
      <c r="V28" s="47">
        <f>regDebt_weighted</f>
        <v>3.5860000000000003E-2</v>
      </c>
      <c r="W28" s="47">
        <f ca="1">+U28-V28</f>
        <v>0.11806686977218456</v>
      </c>
      <c r="X28" s="47">
        <f ca="1">+((W28*(1-0.34))-Pfd_weighted)/Equity_percent</f>
        <v>0.20852945944663315</v>
      </c>
      <c r="Y28" s="47">
        <f>+Y27</f>
        <v>2.5000000000000001E-3</v>
      </c>
      <c r="Z28" s="47">
        <f t="shared" ref="Z28:Z29" ca="1" si="15">+X28+Y28</f>
        <v>0.21102945944663315</v>
      </c>
      <c r="AA28" s="47">
        <f ca="1">Z28*equityP</f>
        <v>8.4411783778653271E-2</v>
      </c>
      <c r="AB28" s="47">
        <f ca="1">+AA28/(1-taxrate)</f>
        <v>0.10685035921348515</v>
      </c>
      <c r="AC28" s="47">
        <f>debtP*Debt_Rate</f>
        <v>0.03</v>
      </c>
      <c r="AD28" s="47">
        <f ca="1">+AC28+AB28</f>
        <v>0.13685035921348515</v>
      </c>
      <c r="AE28" s="47">
        <f ca="1">+AD28/(S28/100)</f>
        <v>7.6540507137271271E-2</v>
      </c>
      <c r="AF28" s="47">
        <f ca="1">1-AE28</f>
        <v>0.92345949286272877</v>
      </c>
      <c r="AG28" s="48">
        <f ca="1">expenses/(AF28)</f>
        <v>53602784.293818638</v>
      </c>
      <c r="AH28" s="49">
        <f ca="1">+AG28-Revenue</f>
        <v>1602784.2938186377</v>
      </c>
      <c r="AI28" s="50">
        <f ca="1">+AH28/$J$49</f>
        <v>1774147.6445645639</v>
      </c>
      <c r="AJ28" s="50">
        <f ca="1">+AI28*$J$47</f>
        <v>35660.36765574773</v>
      </c>
      <c r="AK28" s="48">
        <f t="shared" ca="1" si="14"/>
        <v>53638444.661470003</v>
      </c>
    </row>
    <row r="29" spans="1:37" ht="16.2" thickTop="1">
      <c r="A29" s="1"/>
      <c r="B29" s="1"/>
      <c r="C29" s="1"/>
      <c r="D29" s="1"/>
      <c r="E29" s="1"/>
      <c r="F29" s="43">
        <f t="shared" si="7"/>
        <v>23</v>
      </c>
      <c r="G29" s="15"/>
      <c r="H29" s="15"/>
      <c r="I29" s="15"/>
      <c r="J29" s="15"/>
      <c r="K29" s="15"/>
      <c r="L29" s="15"/>
      <c r="M29" s="15"/>
      <c r="N29" s="15"/>
      <c r="O29" s="1"/>
      <c r="P29" s="1"/>
      <c r="R29" s="55">
        <v>4</v>
      </c>
      <c r="S29" s="45">
        <f ca="1">AK24/Investment*100</f>
        <v>178.69625565903334</v>
      </c>
      <c r="T29" s="62">
        <f ca="1">EXP(y_inter4-(slope*LN(S29)))</f>
        <v>8.5582955150986511</v>
      </c>
      <c r="U29" s="47">
        <f ca="1">(+S29*T29/100)/100</f>
        <v>0.1529335363371627</v>
      </c>
      <c r="V29" s="47">
        <f>regDebt_weighted</f>
        <v>3.5860000000000003E-2</v>
      </c>
      <c r="W29" s="47">
        <f ca="1">+U29-V29</f>
        <v>0.11707353633716269</v>
      </c>
      <c r="X29" s="47">
        <f ca="1">+((W29*(1-0.34))-Pfd_weighted)/Equity_percent</f>
        <v>0.20662364529804467</v>
      </c>
      <c r="Y29" s="47">
        <f>+Y28</f>
        <v>2.5000000000000001E-3</v>
      </c>
      <c r="Z29" s="47">
        <f t="shared" ca="1" si="15"/>
        <v>0.20912364529804467</v>
      </c>
      <c r="AA29" s="47">
        <f ca="1">Z29*equityP</f>
        <v>8.3649458119217868E-2</v>
      </c>
      <c r="AB29" s="47">
        <f ca="1">+AA29/(1-taxrate)</f>
        <v>0.10588539002432641</v>
      </c>
      <c r="AC29" s="47">
        <f>debtP*Debt_Rate</f>
        <v>0.03</v>
      </c>
      <c r="AD29" s="47">
        <f ca="1">+AC29+AB29</f>
        <v>0.13588539002432642</v>
      </c>
      <c r="AE29" s="47">
        <f ca="1">+AD29/(S29/100)</f>
        <v>7.6042662182920356E-2</v>
      </c>
      <c r="AF29" s="47">
        <f ca="1">1-AE29</f>
        <v>0.92395733781707967</v>
      </c>
      <c r="AG29" s="48">
        <f ca="1">expenses/(AF29)</f>
        <v>53573902.142438263</v>
      </c>
      <c r="AH29" s="49">
        <f ca="1">+AG29-Revenue</f>
        <v>1573902.1424382627</v>
      </c>
      <c r="AI29" s="50">
        <f ca="1">+AH29/$J$49</f>
        <v>1742177.5279125175</v>
      </c>
      <c r="AJ29" s="50">
        <f ca="1">+AI29*$J$47</f>
        <v>35017.768311041604</v>
      </c>
      <c r="AK29" s="48">
        <f t="shared" ca="1" si="14"/>
        <v>53608919.910750002</v>
      </c>
    </row>
    <row r="30" spans="1:37" ht="15.6">
      <c r="A30" s="1"/>
      <c r="B30" s="1"/>
      <c r="C30" s="1"/>
      <c r="D30" s="92"/>
      <c r="E30" s="1"/>
      <c r="F30" s="43">
        <f t="shared" si="7"/>
        <v>24</v>
      </c>
      <c r="G30" s="15"/>
      <c r="H30" s="15"/>
      <c r="I30" s="15"/>
      <c r="J30" s="91" t="s">
        <v>84</v>
      </c>
      <c r="K30" s="91" t="s">
        <v>85</v>
      </c>
      <c r="L30" s="15"/>
      <c r="M30" s="15"/>
      <c r="N30" s="15"/>
      <c r="O30" s="1"/>
      <c r="P30" s="1"/>
      <c r="R30" s="17" t="s">
        <v>88</v>
      </c>
      <c r="W30" s="84"/>
      <c r="X30" s="85"/>
      <c r="Z30" s="85"/>
      <c r="AA30" s="86"/>
      <c r="AB30" s="86"/>
      <c r="AC30" s="85"/>
      <c r="AE30" s="85"/>
      <c r="AF30" s="85"/>
      <c r="AG30" s="86"/>
      <c r="AH30" s="84"/>
      <c r="AJ30" s="86"/>
    </row>
    <row r="31" spans="1:37" ht="15.6">
      <c r="A31" s="1"/>
      <c r="B31" s="1"/>
      <c r="C31" s="1"/>
      <c r="D31" s="92"/>
      <c r="E31" s="1"/>
      <c r="F31" s="43">
        <f t="shared" si="7"/>
        <v>25</v>
      </c>
      <c r="G31" s="15"/>
      <c r="H31" s="93" t="s">
        <v>86</v>
      </c>
      <c r="I31" s="94"/>
      <c r="J31" s="95" t="s">
        <v>87</v>
      </c>
      <c r="K31" s="95" t="s">
        <v>87</v>
      </c>
      <c r="L31" s="212"/>
      <c r="M31" s="212"/>
      <c r="N31" s="212"/>
      <c r="O31" s="1"/>
      <c r="P31" s="1"/>
      <c r="R31" s="67">
        <v>1</v>
      </c>
      <c r="S31" s="68">
        <f ca="1">AK26/Investment*100</f>
        <v>179.17736434400001</v>
      </c>
      <c r="T31" s="69">
        <f ca="1">EXP(y_inter1-(slope*LN(+S31)))</f>
        <v>8.8062602333226074</v>
      </c>
      <c r="U31" s="70">
        <f ca="1">(+S31*T31/100)/100</f>
        <v>0.15778824983341233</v>
      </c>
      <c r="V31" s="70">
        <f>regDebt_weighted</f>
        <v>3.5860000000000003E-2</v>
      </c>
      <c r="W31" s="70">
        <f ca="1">+U31-V31</f>
        <v>0.12192824983341233</v>
      </c>
      <c r="X31" s="70">
        <f ca="1">+((W31*(1-0.34))-Pfd_weighted)/Equity_percent</f>
        <v>0.21593792119201199</v>
      </c>
      <c r="Y31" s="70">
        <f>+Y29</f>
        <v>2.5000000000000001E-3</v>
      </c>
      <c r="Z31" s="39">
        <f ca="1">+X31+Y31</f>
        <v>0.218437921192012</v>
      </c>
      <c r="AA31" s="39">
        <f ca="1">Z31*equityP</f>
        <v>8.7375168476804807E-2</v>
      </c>
      <c r="AB31" s="70">
        <f ca="1">+AA31/(1-taxrate)</f>
        <v>0.11060147908456304</v>
      </c>
      <c r="AC31" s="70">
        <f>debtP*Debt_Rate</f>
        <v>0.03</v>
      </c>
      <c r="AD31" s="70">
        <f ca="1">+AC31+AB31</f>
        <v>0.14060147908456305</v>
      </c>
      <c r="AE31" s="70">
        <f ca="1">+AD31/(S31/100)</f>
        <v>7.84705588227229E-2</v>
      </c>
      <c r="AF31" s="70">
        <f ca="1">1-AE31</f>
        <v>0.92152944117727709</v>
      </c>
      <c r="AG31" s="71">
        <f ca="1">expenses/(AF31)</f>
        <v>53715049.989897773</v>
      </c>
      <c r="AH31" s="72">
        <f ca="1">+AG31-Revenue</f>
        <v>1715049.9898977727</v>
      </c>
      <c r="AI31" s="73">
        <f ca="1">+AH31/$J$49</f>
        <v>1898416.344371736</v>
      </c>
      <c r="AJ31" s="73">
        <f ca="1">+AI31*$J$47</f>
        <v>38158.168521871892</v>
      </c>
      <c r="AK31" s="71">
        <f ca="1">ROUND(+AJ31+AG31,5)</f>
        <v>53753208.158419997</v>
      </c>
    </row>
    <row r="32" spans="1:37" ht="15.6">
      <c r="A32" s="1"/>
      <c r="B32" s="1"/>
      <c r="C32" s="1"/>
      <c r="D32" s="96"/>
      <c r="E32" s="1"/>
      <c r="F32" s="43">
        <f t="shared" si="7"/>
        <v>26</v>
      </c>
      <c r="G32" s="15"/>
      <c r="H32" s="21"/>
      <c r="I32" s="21"/>
      <c r="J32" s="21"/>
      <c r="K32" s="21"/>
      <c r="L32" s="15"/>
      <c r="M32" s="15"/>
      <c r="N32" s="15"/>
      <c r="O32" s="1"/>
      <c r="P32" s="1"/>
      <c r="R32" s="44">
        <v>2</v>
      </c>
      <c r="S32" s="45">
        <f ca="1">AK27/Investment*100</f>
        <v>178.94873199783333</v>
      </c>
      <c r="T32" s="57">
        <f ca="1">EXP(y_inter2-(slope*LN(+S32)))</f>
        <v>8.6885475631553497</v>
      </c>
      <c r="U32" s="47">
        <f ca="1">(+S32*T32/100)/100</f>
        <v>0.15548045693295146</v>
      </c>
      <c r="V32" s="47">
        <f>regDebt_weighted</f>
        <v>3.5860000000000003E-2</v>
      </c>
      <c r="W32" s="47">
        <f ca="1">+U32-V32</f>
        <v>0.11962045693295145</v>
      </c>
      <c r="X32" s="47">
        <f ca="1">+((W32*(1-0.34))-Pfd_weighted)/Equity_percent</f>
        <v>0.21151017899926733</v>
      </c>
      <c r="Y32" s="47">
        <f>+Y31</f>
        <v>2.5000000000000001E-3</v>
      </c>
      <c r="Z32" s="47">
        <f ca="1">+X32+Y32</f>
        <v>0.21401017899926733</v>
      </c>
      <c r="AA32" s="47">
        <f ca="1">Z32*equityP</f>
        <v>8.5604071599706941E-2</v>
      </c>
      <c r="AB32" s="47">
        <f ca="1">+AA32/(1-taxrate)</f>
        <v>0.1083595843034265</v>
      </c>
      <c r="AC32" s="47">
        <f>debtP*Debt_Rate</f>
        <v>0.03</v>
      </c>
      <c r="AD32" s="47">
        <f ca="1">+AC32+AB32</f>
        <v>0.13835958430342649</v>
      </c>
      <c r="AE32" s="47">
        <f ca="1">+AD32/(S32/100)</f>
        <v>7.7318002066145794E-2</v>
      </c>
      <c r="AF32" s="47">
        <f ca="1">1-AE32</f>
        <v>0.92268199793385419</v>
      </c>
      <c r="AG32" s="48">
        <f ca="1">expenses/(AF32)</f>
        <v>53647952.502427153</v>
      </c>
      <c r="AH32" s="49">
        <f ca="1">+AG32-Revenue</f>
        <v>1647952.5024271533</v>
      </c>
      <c r="AI32" s="50">
        <f ca="1">+AH32/$J$49</f>
        <v>1824145.0592017367</v>
      </c>
      <c r="AJ32" s="50">
        <f ca="1">+AI32*$J$47</f>
        <v>36665.315689954907</v>
      </c>
      <c r="AK32" s="48">
        <f t="shared" ref="AK32:AK34" ca="1" si="16">ROUND(+AJ32+AG32,5)</f>
        <v>53684617.818120003</v>
      </c>
    </row>
    <row r="33" spans="1:48" ht="15.6">
      <c r="A33" s="1"/>
      <c r="B33" s="1"/>
      <c r="C33" s="1"/>
      <c r="D33" s="1"/>
      <c r="E33" s="1"/>
      <c r="F33" s="43">
        <f t="shared" si="7"/>
        <v>27</v>
      </c>
      <c r="G33" s="15"/>
      <c r="H33" s="21" t="s">
        <v>89</v>
      </c>
      <c r="I33" s="21"/>
      <c r="J33" s="97">
        <f ca="1">+K9/J28</f>
        <v>0.13675849522448183</v>
      </c>
      <c r="K33" s="97">
        <f ca="1">+(M14+M11)/J28</f>
        <v>0.11433921122734064</v>
      </c>
      <c r="L33" s="34"/>
      <c r="M33" s="34"/>
      <c r="N33" s="35"/>
      <c r="O33" s="1"/>
      <c r="P33" s="1"/>
      <c r="R33" s="54">
        <v>3</v>
      </c>
      <c r="S33" s="45">
        <f ca="1">AK28/Investment*100</f>
        <v>178.79481553823337</v>
      </c>
      <c r="T33" s="46">
        <f ca="1">EXP(y_inter3-(slope*LN(S33)))</f>
        <v>8.6091369401457492</v>
      </c>
      <c r="U33" s="47">
        <f ca="1">(+S33*T33/100)/100</f>
        <v>0.153926905115675</v>
      </c>
      <c r="V33" s="47">
        <f>regDebt_weighted</f>
        <v>3.5860000000000003E-2</v>
      </c>
      <c r="W33" s="47">
        <f ca="1">+U33-V33</f>
        <v>0.118066905115675</v>
      </c>
      <c r="X33" s="47">
        <f ca="1">+((W33*(1-0.34))-Pfd_weighted)/Equity_percent</f>
        <v>0.20852952725681831</v>
      </c>
      <c r="Y33" s="47">
        <f>+Y32</f>
        <v>2.5000000000000001E-3</v>
      </c>
      <c r="Z33" s="47">
        <f t="shared" ref="Z33:Z34" ca="1" si="17">+X33+Y33</f>
        <v>0.21102952725681831</v>
      </c>
      <c r="AA33" s="47">
        <f ca="1">Z33*equityP</f>
        <v>8.4411810902727327E-2</v>
      </c>
      <c r="AB33" s="47">
        <f ca="1">+AA33/(1-taxrate)</f>
        <v>0.10685039354775611</v>
      </c>
      <c r="AC33" s="47">
        <f>debtP*Debt_Rate</f>
        <v>0.03</v>
      </c>
      <c r="AD33" s="47">
        <f ca="1">+AC33+AB33</f>
        <v>0.13685039354775611</v>
      </c>
      <c r="AE33" s="47">
        <f ca="1">+AD33/(S33/100)</f>
        <v>7.6540470782550232E-2</v>
      </c>
      <c r="AF33" s="47">
        <f ca="1">1-AE33</f>
        <v>0.92345952921744978</v>
      </c>
      <c r="AG33" s="48">
        <f ca="1">expenses/(AF33)</f>
        <v>53602782.18358618</v>
      </c>
      <c r="AH33" s="49">
        <f ca="1">+AG33-Revenue</f>
        <v>1602782.1835861802</v>
      </c>
      <c r="AI33" s="50">
        <f ca="1">+AH33/$J$49</f>
        <v>1774145.3087144073</v>
      </c>
      <c r="AJ33" s="50">
        <f ca="1">+AI33*$J$47</f>
        <v>35660.320705159589</v>
      </c>
      <c r="AK33" s="48">
        <f t="shared" ca="1" si="16"/>
        <v>53638442.50429</v>
      </c>
    </row>
    <row r="34" spans="1:48" ht="15.6">
      <c r="A34" s="1"/>
      <c r="B34" s="1"/>
      <c r="C34" s="1"/>
      <c r="D34" s="1"/>
      <c r="E34" s="1"/>
      <c r="F34" s="43">
        <f t="shared" si="7"/>
        <v>28</v>
      </c>
      <c r="G34" s="15"/>
      <c r="H34" s="21" t="s">
        <v>90</v>
      </c>
      <c r="I34" s="21"/>
      <c r="J34" s="97">
        <f ca="1">+(M9-M11)/J26</f>
        <v>0.26689623806120455</v>
      </c>
      <c r="K34" s="97">
        <f ca="1">+M14/J26</f>
        <v>0.2108480280683516</v>
      </c>
      <c r="L34" s="34"/>
      <c r="M34" s="34"/>
      <c r="N34" s="35"/>
      <c r="O34" s="99"/>
      <c r="P34" s="1"/>
      <c r="R34" s="55">
        <v>4</v>
      </c>
      <c r="S34" s="45">
        <f ca="1">AK29/Investment*100</f>
        <v>178.6963997025</v>
      </c>
      <c r="T34" s="62">
        <f ca="1">EXP(y_inter4-(slope*LN(S34)))</f>
        <v>8.5582907986879153</v>
      </c>
      <c r="U34" s="47">
        <f ca="1">(+S34*T34/100)/100</f>
        <v>0.15293357533325636</v>
      </c>
      <c r="V34" s="47">
        <f>regDebt_weighted</f>
        <v>3.5860000000000003E-2</v>
      </c>
      <c r="W34" s="47">
        <f ca="1">+U34-V34</f>
        <v>0.11707357533325635</v>
      </c>
      <c r="X34" s="47">
        <f ca="1">+((W34*(1-0.34))-Pfd_weighted)/Equity_percent</f>
        <v>0.20662372011613137</v>
      </c>
      <c r="Y34" s="47">
        <f>+Y33</f>
        <v>2.5000000000000001E-3</v>
      </c>
      <c r="Z34" s="47">
        <f t="shared" ca="1" si="17"/>
        <v>0.20912372011613137</v>
      </c>
      <c r="AA34" s="47">
        <f ca="1">Z34*equityP</f>
        <v>8.3649488046452558E-2</v>
      </c>
      <c r="AB34" s="47">
        <f ca="1">+AA34/(1-taxrate)</f>
        <v>0.10588542790690197</v>
      </c>
      <c r="AC34" s="47">
        <f>debtP*Debt_Rate</f>
        <v>0.03</v>
      </c>
      <c r="AD34" s="47">
        <f ca="1">+AC34+AB34</f>
        <v>0.13588542790690197</v>
      </c>
      <c r="AE34" s="47">
        <f ca="1">+AD34/(S34/100)</f>
        <v>7.6042622085911504E-2</v>
      </c>
      <c r="AF34" s="47">
        <f ca="1">1-AE34</f>
        <v>0.9239573779140885</v>
      </c>
      <c r="AG34" s="48">
        <f ca="1">expenses/(AF34)</f>
        <v>53573899.817489862</v>
      </c>
      <c r="AH34" s="49">
        <f ca="1">+AG34-Revenue</f>
        <v>1573899.8174898624</v>
      </c>
      <c r="AI34" s="50">
        <f ca="1">+AH34/$J$49</f>
        <v>1742174.9543898397</v>
      </c>
      <c r="AJ34" s="50">
        <f ca="1">+AI34*$J$47</f>
        <v>35017.716583235779</v>
      </c>
      <c r="AK34" s="48">
        <f t="shared" ca="1" si="16"/>
        <v>53608917.53407</v>
      </c>
    </row>
    <row r="35" spans="1:48" ht="15.6">
      <c r="A35" s="1"/>
      <c r="B35" s="1"/>
      <c r="C35" s="1"/>
      <c r="D35" s="1"/>
      <c r="E35" s="1"/>
      <c r="F35" s="43">
        <f t="shared" si="7"/>
        <v>29</v>
      </c>
      <c r="G35" s="15"/>
      <c r="H35" s="98" t="s">
        <v>52</v>
      </c>
      <c r="I35" s="21"/>
      <c r="J35" s="97">
        <f ca="1">+K8/K7</f>
        <v>0.92346000000000006</v>
      </c>
      <c r="K35" s="97">
        <f ca="1">+M8/M7</f>
        <v>0.92351088506870882</v>
      </c>
      <c r="L35" s="34"/>
      <c r="M35" s="34"/>
      <c r="N35" s="35"/>
      <c r="O35" s="1"/>
      <c r="P35" s="1"/>
      <c r="R35" s="17" t="s">
        <v>92</v>
      </c>
      <c r="X35" s="85"/>
      <c r="Y35" s="85"/>
      <c r="Z35" s="85"/>
      <c r="AA35" s="100"/>
      <c r="AB35" s="86"/>
      <c r="AC35" s="85"/>
      <c r="AE35" s="85"/>
      <c r="AF35" s="85"/>
      <c r="AG35" s="86"/>
      <c r="AH35" s="84"/>
      <c r="AJ35" s="86"/>
    </row>
    <row r="36" spans="1:48" ht="15.6">
      <c r="A36" s="1"/>
      <c r="B36" s="1"/>
      <c r="C36" s="1"/>
      <c r="D36" s="1"/>
      <c r="E36" s="1"/>
      <c r="F36" s="43">
        <f t="shared" si="7"/>
        <v>30</v>
      </c>
      <c r="G36" s="15"/>
      <c r="H36" s="21" t="s">
        <v>91</v>
      </c>
      <c r="I36" s="21"/>
      <c r="J36" s="97">
        <f ca="1">+K9/K7</f>
        <v>7.6539999999999997E-2</v>
      </c>
      <c r="K36" s="97">
        <f ca="1">+J36</f>
        <v>7.6539999999999997E-2</v>
      </c>
      <c r="L36" s="15"/>
      <c r="M36" s="15"/>
      <c r="N36" s="35"/>
      <c r="O36" s="1"/>
      <c r="P36" s="1"/>
      <c r="R36" s="67">
        <v>1</v>
      </c>
      <c r="S36" s="68">
        <f ca="1">AK31/Investment*100</f>
        <v>179.17736052806666</v>
      </c>
      <c r="T36" s="69">
        <f ca="1">EXP(y_inter1-(slope*LN(+S36)))</f>
        <v>8.8062603615425825</v>
      </c>
      <c r="U36" s="70">
        <f ca="1">(+S36*T36/100)/100</f>
        <v>0.15778824877041381</v>
      </c>
      <c r="V36" s="70">
        <f>regDebt_weighted</f>
        <v>3.5860000000000003E-2</v>
      </c>
      <c r="W36" s="70">
        <f ca="1">+U36-V36</f>
        <v>0.12192824877041381</v>
      </c>
      <c r="X36" s="70">
        <f ca="1">+((W36*(1-0.34))-Pfd_weighted)/Equity_percent</f>
        <v>0.21593791915253813</v>
      </c>
      <c r="Y36" s="70">
        <f>+Y34</f>
        <v>2.5000000000000001E-3</v>
      </c>
      <c r="Z36" s="39">
        <f ca="1">+X36+Y36</f>
        <v>0.21843791915253813</v>
      </c>
      <c r="AA36" s="39">
        <f ca="1">Z36*equityP</f>
        <v>8.737516766101526E-2</v>
      </c>
      <c r="AB36" s="70">
        <f ca="1">+AA36/(1-taxrate)</f>
        <v>0.11060147805191804</v>
      </c>
      <c r="AC36" s="70">
        <f>debtP*Debt_Rate</f>
        <v>0.03</v>
      </c>
      <c r="AD36" s="70">
        <f ca="1">+AC36+AB36</f>
        <v>0.14060147805191803</v>
      </c>
      <c r="AE36" s="70">
        <f ca="1">+AD36/(S36/100)</f>
        <v>7.8470559917581756E-2</v>
      </c>
      <c r="AF36" s="70">
        <f ca="1">1-AE36</f>
        <v>0.92152944008241822</v>
      </c>
      <c r="AG36" s="71">
        <f ca="1">expenses/(AF36)</f>
        <v>53715050.053716026</v>
      </c>
      <c r="AH36" s="72">
        <f ca="1">+AG36-Revenue</f>
        <v>1715050.0537160262</v>
      </c>
      <c r="AI36" s="73">
        <f ca="1">+AH36/$J$49</f>
        <v>1898416.4150131845</v>
      </c>
      <c r="AJ36" s="73">
        <f ca="1">+AI36*$J$47</f>
        <v>38158.169941765009</v>
      </c>
      <c r="AK36" s="71">
        <f ca="1">ROUND(+AJ36+AG36,5)</f>
        <v>53753208.22366</v>
      </c>
    </row>
    <row r="37" spans="1:48" ht="15.6">
      <c r="A37" s="1"/>
      <c r="B37" s="1"/>
      <c r="C37" s="1"/>
      <c r="D37" s="30"/>
      <c r="E37" s="1"/>
      <c r="F37" s="43">
        <f t="shared" si="7"/>
        <v>31</v>
      </c>
      <c r="G37" s="15"/>
      <c r="H37" s="21" t="s">
        <v>93</v>
      </c>
      <c r="I37" s="101"/>
      <c r="J37" s="102">
        <f ca="1">+S39/100</f>
        <v>1.7869639178023333</v>
      </c>
      <c r="K37" s="102">
        <f ca="1">+J37</f>
        <v>1.7869639178023333</v>
      </c>
      <c r="L37" s="15"/>
      <c r="M37" s="15"/>
      <c r="N37" s="15"/>
      <c r="O37" s="1"/>
      <c r="P37" s="1"/>
      <c r="R37" s="44">
        <v>2</v>
      </c>
      <c r="S37" s="45">
        <f ca="1">AK32/Investment*100</f>
        <v>178.94872606039999</v>
      </c>
      <c r="T37" s="57">
        <f ca="1">EXP(y_inter2-(slope*LN(+S37)))</f>
        <v>8.6885477602450063</v>
      </c>
      <c r="U37" s="47">
        <f ca="1">(+S37*T37/100)/100</f>
        <v>0.15548045530107857</v>
      </c>
      <c r="V37" s="47">
        <f>regDebt_weighted</f>
        <v>3.5860000000000003E-2</v>
      </c>
      <c r="W37" s="47">
        <f ca="1">+U37-V37</f>
        <v>0.11962045530107857</v>
      </c>
      <c r="X37" s="47">
        <f ca="1">+((W37*(1-0.34))-Pfd_weighted)/Equity_percent</f>
        <v>0.21151017586834839</v>
      </c>
      <c r="Y37" s="47">
        <f>+Y36</f>
        <v>2.5000000000000001E-3</v>
      </c>
      <c r="Z37" s="47">
        <f ca="1">+X37+Y37</f>
        <v>0.21401017586834839</v>
      </c>
      <c r="AA37" s="47">
        <f ca="1">Z37*equityP</f>
        <v>8.5604070347339356E-2</v>
      </c>
      <c r="AB37" s="47">
        <f ca="1">+AA37/(1-taxrate)</f>
        <v>0.10835958271815108</v>
      </c>
      <c r="AC37" s="47">
        <f>debtP*Debt_Rate</f>
        <v>0.03</v>
      </c>
      <c r="AD37" s="47">
        <f ca="1">+AC37+AB37</f>
        <v>0.13835958271815108</v>
      </c>
      <c r="AE37" s="47">
        <f ca="1">+AD37/(S37/100)</f>
        <v>7.7318003745637728E-2</v>
      </c>
      <c r="AF37" s="47">
        <f ca="1">1-AE37</f>
        <v>0.92268199625436231</v>
      </c>
      <c r="AG37" s="48">
        <f ca="1">expenses/(AF37)</f>
        <v>53647952.60007868</v>
      </c>
      <c r="AH37" s="49">
        <f ca="1">+AG37-Revenue</f>
        <v>1647952.6000786796</v>
      </c>
      <c r="AI37" s="50">
        <f ca="1">+AH37/$J$49</f>
        <v>1824145.1672937777</v>
      </c>
      <c r="AJ37" s="50">
        <f ca="1">+AI37*$J$47</f>
        <v>36665.317862604934</v>
      </c>
      <c r="AK37" s="48">
        <f t="shared" ref="AK37:AK39" ca="1" si="18">ROUND(+AJ37+AG37,5)</f>
        <v>53684617.917939998</v>
      </c>
    </row>
    <row r="38" spans="1:48" ht="15.6">
      <c r="A38" s="1"/>
      <c r="B38" s="1"/>
      <c r="C38" s="1"/>
      <c r="D38" s="30"/>
      <c r="E38" s="1"/>
      <c r="F38" s="43">
        <f t="shared" si="7"/>
        <v>32</v>
      </c>
      <c r="G38" s="15"/>
      <c r="H38" s="21" t="s">
        <v>10</v>
      </c>
      <c r="I38" s="15"/>
      <c r="J38" s="97">
        <f>+C10</f>
        <v>0.21</v>
      </c>
      <c r="K38" s="97">
        <f>+J38</f>
        <v>0.21</v>
      </c>
      <c r="L38" s="15"/>
      <c r="M38" s="15"/>
      <c r="N38" s="15"/>
      <c r="O38" s="1"/>
      <c r="P38" s="1"/>
      <c r="Q38" s="103"/>
      <c r="R38" s="54">
        <v>3</v>
      </c>
      <c r="S38" s="45">
        <f ca="1">AK33/Investment*100</f>
        <v>178.79480834763334</v>
      </c>
      <c r="T38" s="46">
        <f ca="1">EXP(y_inter3-(slope*LN(S38)))</f>
        <v>8.6091371768556169</v>
      </c>
      <c r="U38" s="47">
        <f ca="1">(+S38*T38/100)/100</f>
        <v>0.15392690315743851</v>
      </c>
      <c r="V38" s="47">
        <f>regDebt_weighted</f>
        <v>3.5860000000000003E-2</v>
      </c>
      <c r="W38" s="47">
        <f ca="1">+U38-V38</f>
        <v>0.11806690315743851</v>
      </c>
      <c r="X38" s="47">
        <f ca="1">+((W38*(1-0.34))-Pfd_weighted)/Equity_percent</f>
        <v>0.20852952349973664</v>
      </c>
      <c r="Y38" s="47">
        <f>+Y37</f>
        <v>2.5000000000000001E-3</v>
      </c>
      <c r="Z38" s="47">
        <f t="shared" ref="Z38:Z39" ca="1" si="19">+X38+Y38</f>
        <v>0.21102952349973664</v>
      </c>
      <c r="AA38" s="47">
        <f ca="1">Z38*equityP</f>
        <v>8.4411809399894663E-2</v>
      </c>
      <c r="AB38" s="47">
        <f ca="1">+AA38/(1-taxrate)</f>
        <v>0.10685039164543628</v>
      </c>
      <c r="AC38" s="47">
        <f>debtP*Debt_Rate</f>
        <v>0.03</v>
      </c>
      <c r="AD38" s="47">
        <f ca="1">+AC38+AB38</f>
        <v>0.13685039164543628</v>
      </c>
      <c r="AE38" s="47">
        <f ca="1">+AD38/(S38/100)</f>
        <v>7.6540472796814141E-2</v>
      </c>
      <c r="AF38" s="47">
        <f ca="1">1-AE38</f>
        <v>0.9234595272031858</v>
      </c>
      <c r="AG38" s="48">
        <f ca="1">expenses/(AF38)</f>
        <v>53602782.300505385</v>
      </c>
      <c r="AH38" s="49">
        <f ca="1">+AG38-Revenue</f>
        <v>1602782.3005053848</v>
      </c>
      <c r="AI38" s="50">
        <f ca="1">+AH38/$J$49</f>
        <v>1774145.4381341501</v>
      </c>
      <c r="AJ38" s="50">
        <f ca="1">+AI38*$J$47</f>
        <v>35660.323306496415</v>
      </c>
      <c r="AK38" s="48">
        <f t="shared" ca="1" si="18"/>
        <v>53638442.623810001</v>
      </c>
    </row>
    <row r="39" spans="1:48" ht="15.6">
      <c r="A39" s="1"/>
      <c r="B39" s="1"/>
      <c r="C39" s="1"/>
      <c r="D39" s="96"/>
      <c r="E39" s="1"/>
      <c r="F39" s="43">
        <f t="shared" si="7"/>
        <v>33</v>
      </c>
      <c r="G39" s="15"/>
      <c r="H39" s="15"/>
      <c r="I39" s="15"/>
      <c r="J39" s="15"/>
      <c r="K39" s="15"/>
      <c r="L39" s="15"/>
      <c r="M39" s="15"/>
      <c r="N39" s="15"/>
      <c r="O39" s="1"/>
      <c r="P39" s="1"/>
      <c r="R39" s="55">
        <v>4</v>
      </c>
      <c r="S39" s="45">
        <f ca="1">AK34/Investment*100</f>
        <v>178.69639178023334</v>
      </c>
      <c r="T39" s="62">
        <f ca="1">EXP(y_inter4-(slope*LN(S39)))</f>
        <v>8.5582910580862777</v>
      </c>
      <c r="U39" s="47">
        <f ca="1">(+S39*T39/100)/100</f>
        <v>0.15293357318850531</v>
      </c>
      <c r="V39" s="47">
        <f>regDebt_weighted</f>
        <v>3.5860000000000003E-2</v>
      </c>
      <c r="W39" s="47">
        <f ca="1">+U39-V39</f>
        <v>0.11707357318850531</v>
      </c>
      <c r="X39" s="47">
        <f ca="1">+((W39*(1-0.34))-Pfd_weighted)/Equity_percent</f>
        <v>0.20662371600120202</v>
      </c>
      <c r="Y39" s="47">
        <f>+Y38</f>
        <v>2.5000000000000001E-3</v>
      </c>
      <c r="Z39" s="47">
        <f t="shared" ca="1" si="19"/>
        <v>0.20912371600120203</v>
      </c>
      <c r="AA39" s="47">
        <f ca="1">Z39*equityP</f>
        <v>8.364948640048081E-2</v>
      </c>
      <c r="AB39" s="47">
        <f ca="1">+AA39/(1-taxrate)</f>
        <v>0.10588542582339343</v>
      </c>
      <c r="AC39" s="47">
        <f>debtP*Debt_Rate</f>
        <v>0.03</v>
      </c>
      <c r="AD39" s="47">
        <f ca="1">+AC39+AB39</f>
        <v>0.13588542582339341</v>
      </c>
      <c r="AE39" s="47">
        <f ca="1">+AD39/(S39/100)</f>
        <v>7.6042624291211072E-2</v>
      </c>
      <c r="AF39" s="47">
        <f ca="1">1-AE39</f>
        <v>0.92395737570878889</v>
      </c>
      <c r="AG39" s="48">
        <f ca="1">expenses/(AF39)</f>
        <v>53573899.945359945</v>
      </c>
      <c r="AH39" s="49">
        <f ca="1">+AG39-Revenue</f>
        <v>1573899.9453599453</v>
      </c>
      <c r="AI39" s="50">
        <f ca="1">+AH39/$J$49</f>
        <v>1742175.0959312855</v>
      </c>
      <c r="AJ39" s="50">
        <f ca="1">+AI39*$J$47</f>
        <v>35017.719428218836</v>
      </c>
      <c r="AK39" s="48">
        <f t="shared" ca="1" si="18"/>
        <v>53608917.664789997</v>
      </c>
    </row>
    <row r="40" spans="1:48" ht="15.6">
      <c r="A40" s="1"/>
      <c r="B40" s="1"/>
      <c r="C40" s="1"/>
      <c r="D40" s="1"/>
      <c r="E40" s="1"/>
      <c r="F40" s="43">
        <f t="shared" si="7"/>
        <v>34</v>
      </c>
      <c r="G40" s="101"/>
      <c r="H40" s="15"/>
      <c r="I40" s="15"/>
      <c r="J40" s="15"/>
      <c r="K40" s="15"/>
      <c r="L40" s="15"/>
      <c r="M40" s="15"/>
      <c r="N40" s="15"/>
      <c r="O40" s="1"/>
      <c r="P40" s="1"/>
      <c r="X40" s="85"/>
      <c r="Y40" s="85"/>
      <c r="Z40" s="85"/>
      <c r="AA40" s="100"/>
      <c r="AB40" s="86"/>
      <c r="AC40" s="85"/>
      <c r="AE40" s="85"/>
      <c r="AF40" s="85"/>
      <c r="AG40" s="86"/>
      <c r="AH40" s="84"/>
      <c r="AJ40" s="86"/>
    </row>
    <row r="41" spans="1:48" ht="15.6">
      <c r="A41" s="1"/>
      <c r="B41" s="1"/>
      <c r="C41" s="1"/>
      <c r="D41" s="1"/>
      <c r="E41" s="1"/>
      <c r="F41" s="43">
        <f t="shared" si="7"/>
        <v>35</v>
      </c>
      <c r="G41" s="15"/>
      <c r="H41" s="93" t="s">
        <v>94</v>
      </c>
      <c r="I41" s="104"/>
      <c r="J41" s="15"/>
      <c r="K41" s="15"/>
      <c r="L41" s="15"/>
      <c r="M41" s="15"/>
      <c r="N41" s="15"/>
      <c r="O41" s="1"/>
      <c r="P41" s="1"/>
      <c r="R41" s="106" t="s">
        <v>95</v>
      </c>
      <c r="S41" s="107"/>
      <c r="T41" s="108"/>
      <c r="U41" s="108"/>
      <c r="V41" s="109"/>
      <c r="X41" s="110"/>
      <c r="Y41" s="110"/>
      <c r="Z41" s="110"/>
      <c r="AA41" s="100"/>
      <c r="AB41" s="86"/>
      <c r="AC41" s="85"/>
      <c r="AE41" s="85"/>
      <c r="AF41" s="85"/>
      <c r="AG41" s="86"/>
      <c r="AH41" s="84"/>
      <c r="AJ41" s="86"/>
    </row>
    <row r="42" spans="1:48" ht="15.6">
      <c r="A42" s="1"/>
      <c r="B42" s="1"/>
      <c r="C42" s="1"/>
      <c r="D42" s="1"/>
      <c r="E42" s="1"/>
      <c r="F42" s="43">
        <f t="shared" si="7"/>
        <v>36</v>
      </c>
      <c r="G42" s="15"/>
      <c r="H42" s="15"/>
      <c r="I42" s="15"/>
      <c r="J42" s="105" t="s">
        <v>80</v>
      </c>
      <c r="K42" s="198" t="s">
        <v>43</v>
      </c>
      <c r="L42" s="15"/>
      <c r="M42" s="15"/>
      <c r="N42" s="15"/>
      <c r="O42" s="1"/>
      <c r="P42" s="1"/>
      <c r="R42" s="114" t="s">
        <v>96</v>
      </c>
      <c r="S42" s="115"/>
      <c r="T42" s="116"/>
      <c r="U42" s="116"/>
      <c r="V42" s="117"/>
      <c r="X42" s="85"/>
      <c r="Y42" s="85"/>
      <c r="Z42" s="85"/>
      <c r="AA42" s="100"/>
      <c r="AB42" s="86"/>
      <c r="AC42" s="85"/>
      <c r="AE42" s="85"/>
      <c r="AF42" s="85"/>
      <c r="AG42" s="86"/>
      <c r="AJ42" s="86"/>
    </row>
    <row r="43" spans="1:48" ht="15.6">
      <c r="A43" s="1"/>
      <c r="B43" s="1"/>
      <c r="C43" s="1"/>
      <c r="D43" s="1"/>
      <c r="E43" s="1"/>
      <c r="F43" s="43">
        <f t="shared" si="7"/>
        <v>37</v>
      </c>
      <c r="G43" s="15"/>
      <c r="H43" s="21" t="s">
        <v>7</v>
      </c>
      <c r="I43" s="111"/>
      <c r="J43" s="112">
        <f>IF(A64=TRUE,C11,0)</f>
        <v>1.4999999999999999E-2</v>
      </c>
      <c r="K43" s="113">
        <f ca="1">+J43*($J$7/$J$49)</f>
        <v>26611.725902758364</v>
      </c>
      <c r="L43" s="15"/>
      <c r="M43" s="15"/>
      <c r="N43" s="15"/>
      <c r="O43" s="1"/>
      <c r="P43" s="1"/>
      <c r="R43" s="54">
        <v>0</v>
      </c>
      <c r="S43" s="118">
        <v>1</v>
      </c>
      <c r="T43" s="116"/>
      <c r="U43" s="119" t="s">
        <v>91</v>
      </c>
      <c r="V43" s="120">
        <f ca="1">VLOOKUP(R48,R36:AG39,14)</f>
        <v>7.6540472796814141E-2</v>
      </c>
      <c r="AC43" s="85"/>
      <c r="AE43" s="85"/>
      <c r="AJ43" s="86"/>
      <c r="AN43" s="85"/>
      <c r="AO43" s="85"/>
      <c r="AP43" s="85"/>
      <c r="AQ43" s="85"/>
      <c r="AR43" s="85"/>
      <c r="AS43" s="85"/>
      <c r="AT43" s="85"/>
      <c r="AU43" s="85"/>
      <c r="AV43" s="85"/>
    </row>
    <row r="44" spans="1:48" ht="15.6">
      <c r="A44" s="1"/>
      <c r="B44" s="1"/>
      <c r="C44" s="1"/>
      <c r="D44" s="1"/>
      <c r="E44" s="1"/>
      <c r="F44" s="43">
        <f t="shared" si="7"/>
        <v>38</v>
      </c>
      <c r="G44" s="15"/>
      <c r="H44" s="21" t="s">
        <v>8</v>
      </c>
      <c r="I44" s="111"/>
      <c r="J44" s="112">
        <f>IF(A64=TRUE,C12,0)</f>
        <v>5.1000000000000004E-3</v>
      </c>
      <c r="K44" s="113">
        <f ca="1">+J44*($J$7/$J$49)</f>
        <v>9047.9868069378444</v>
      </c>
      <c r="L44" s="15"/>
      <c r="M44" s="15"/>
      <c r="N44" s="15"/>
      <c r="O44" s="1"/>
      <c r="P44" s="1"/>
      <c r="R44" s="54">
        <v>50</v>
      </c>
      <c r="S44" s="118">
        <v>2</v>
      </c>
      <c r="T44" s="116"/>
      <c r="U44" s="119" t="s">
        <v>52</v>
      </c>
      <c r="V44" s="120">
        <f ca="1">ROUND(1-V43,6)</f>
        <v>0.92345999999999995</v>
      </c>
      <c r="AA44" s="121"/>
      <c r="AB44" s="17"/>
      <c r="AC44" s="17"/>
      <c r="AE44" s="85"/>
      <c r="AH44" s="84"/>
      <c r="AJ44" s="86"/>
      <c r="AN44" s="85"/>
      <c r="AO44" s="85"/>
      <c r="AP44" s="85"/>
      <c r="AQ44" s="85"/>
      <c r="AR44" s="85"/>
      <c r="AS44" s="85"/>
      <c r="AT44" s="85"/>
      <c r="AU44" s="85"/>
      <c r="AV44" s="85"/>
    </row>
    <row r="45" spans="1:48" ht="15.6">
      <c r="A45" s="1"/>
      <c r="B45" s="1"/>
      <c r="C45" s="1"/>
      <c r="D45" s="1"/>
      <c r="E45" s="1"/>
      <c r="F45" s="43">
        <f t="shared" si="7"/>
        <v>39</v>
      </c>
      <c r="G45" s="15"/>
      <c r="H45" s="21" t="s">
        <v>9</v>
      </c>
      <c r="I45" s="111"/>
      <c r="J45" s="112">
        <f>IF(A64=TRUE,C13,0)</f>
        <v>0</v>
      </c>
      <c r="K45" s="113">
        <f ca="1">+J45*($J$7/$J$49)</f>
        <v>0</v>
      </c>
      <c r="L45" s="15"/>
      <c r="M45" s="15"/>
      <c r="N45" s="15"/>
      <c r="O45" s="1"/>
      <c r="P45" s="1"/>
      <c r="R45" s="54">
        <v>125</v>
      </c>
      <c r="S45" s="118">
        <v>3</v>
      </c>
      <c r="T45" s="116"/>
      <c r="U45" s="116" t="s">
        <v>110</v>
      </c>
      <c r="V45" s="174">
        <f ca="1">+M7/Revenue-1</f>
        <v>3.1507972489310587E-2</v>
      </c>
      <c r="W45" s="122"/>
      <c r="X45" s="85"/>
      <c r="Y45" s="85"/>
      <c r="Z45" s="85"/>
      <c r="AA45" s="121"/>
      <c r="AB45" s="86"/>
      <c r="AC45" s="85"/>
      <c r="AE45" s="85"/>
      <c r="AF45" s="85"/>
      <c r="AG45" s="86"/>
      <c r="AH45" s="84"/>
      <c r="AJ45" s="86"/>
      <c r="AN45" s="85"/>
      <c r="AO45" s="85"/>
      <c r="AP45" s="85"/>
      <c r="AQ45" s="85"/>
      <c r="AR45" s="85"/>
      <c r="AS45" s="85"/>
      <c r="AT45" s="85"/>
      <c r="AU45" s="85"/>
      <c r="AV45" s="85"/>
    </row>
    <row r="46" spans="1:48" ht="15.6">
      <c r="A46" s="1"/>
      <c r="B46" s="1"/>
      <c r="C46" s="1"/>
      <c r="D46" s="1"/>
      <c r="E46" s="1"/>
      <c r="F46" s="43">
        <f t="shared" si="7"/>
        <v>40</v>
      </c>
      <c r="G46" s="15"/>
      <c r="H46" s="21" t="s">
        <v>11</v>
      </c>
      <c r="I46" s="111"/>
      <c r="J46" s="112">
        <f>IF(A64=TRUE,C14,0)</f>
        <v>0</v>
      </c>
      <c r="K46" s="113">
        <f ca="1">+J46*($J$7/$J$49)</f>
        <v>0</v>
      </c>
      <c r="L46" s="15"/>
      <c r="M46" s="15"/>
      <c r="N46" s="15"/>
      <c r="O46" s="1"/>
      <c r="P46" s="1"/>
      <c r="R46" s="55">
        <v>401</v>
      </c>
      <c r="S46" s="124">
        <v>4</v>
      </c>
      <c r="T46" s="125"/>
      <c r="U46" s="125"/>
      <c r="V46" s="126"/>
      <c r="X46" s="85"/>
      <c r="Y46" s="85"/>
      <c r="Z46" s="85"/>
      <c r="AA46" s="100"/>
      <c r="AB46" s="86"/>
      <c r="AC46" s="85"/>
      <c r="AE46" s="85"/>
      <c r="AF46" s="85"/>
      <c r="AG46" s="86"/>
      <c r="AH46" s="84"/>
      <c r="AJ46" s="86"/>
      <c r="AN46" s="85"/>
      <c r="AO46" s="85"/>
      <c r="AP46" s="85"/>
      <c r="AQ46" s="85"/>
      <c r="AR46" s="85"/>
      <c r="AS46" s="85"/>
      <c r="AT46" s="85"/>
      <c r="AU46" s="85"/>
      <c r="AV46" s="85"/>
    </row>
    <row r="47" spans="1:48" ht="16.2" thickBot="1">
      <c r="A47" s="1"/>
      <c r="B47" s="1"/>
      <c r="C47" s="1"/>
      <c r="D47" s="1"/>
      <c r="E47" s="1"/>
      <c r="F47" s="43">
        <f t="shared" si="7"/>
        <v>41</v>
      </c>
      <c r="G47" s="15"/>
      <c r="H47" s="21" t="s">
        <v>12</v>
      </c>
      <c r="I47" s="101"/>
      <c r="J47" s="123">
        <f>SUM(J43:J46)</f>
        <v>2.01E-2</v>
      </c>
      <c r="K47" s="88">
        <f ca="1">+K43+K44+K45+K46</f>
        <v>35659.712709696207</v>
      </c>
      <c r="L47" s="15"/>
      <c r="M47" s="15"/>
      <c r="N47" s="15"/>
      <c r="O47" s="1"/>
      <c r="P47" s="1"/>
      <c r="R47" s="68">
        <f ca="1">VLOOKUP(R48,R36:S39,2)</f>
        <v>178.79480834763334</v>
      </c>
      <c r="S47" s="162" t="s">
        <v>97</v>
      </c>
      <c r="T47" s="109"/>
      <c r="X47" s="13" t="s">
        <v>2</v>
      </c>
      <c r="AE47" s="85"/>
      <c r="AH47" s="84"/>
      <c r="AJ47" s="86"/>
    </row>
    <row r="48" spans="1:48" ht="16.2" thickTop="1">
      <c r="A48" s="1"/>
      <c r="B48" s="1"/>
      <c r="C48" s="1"/>
      <c r="D48" s="1"/>
      <c r="E48" s="1"/>
      <c r="F48" s="43">
        <f t="shared" si="7"/>
        <v>42</v>
      </c>
      <c r="G48" s="15"/>
      <c r="H48" s="15"/>
      <c r="I48" s="15"/>
      <c r="J48" s="127"/>
      <c r="K48" s="15"/>
      <c r="L48" s="15"/>
      <c r="M48" s="15"/>
      <c r="N48" s="15"/>
      <c r="O48" s="1"/>
      <c r="P48" s="1"/>
      <c r="R48" s="54">
        <f ca="1">VLOOKUP(S36,R43:S46,2)</f>
        <v>3</v>
      </c>
      <c r="S48" s="161" t="s">
        <v>111</v>
      </c>
      <c r="T48" s="117"/>
      <c r="X48" s="13" t="s">
        <v>3</v>
      </c>
      <c r="AC48" s="17"/>
      <c r="AE48" s="85"/>
      <c r="AJ48" s="86"/>
    </row>
    <row r="49" spans="1:48" ht="15.6">
      <c r="A49" s="1"/>
      <c r="B49" s="1"/>
      <c r="C49" s="1"/>
      <c r="D49" s="1"/>
      <c r="E49" s="1"/>
      <c r="F49" s="43">
        <f t="shared" si="7"/>
        <v>43</v>
      </c>
      <c r="G49" s="183"/>
      <c r="H49" s="195" t="s">
        <v>13</v>
      </c>
      <c r="I49" s="196"/>
      <c r="J49" s="197">
        <f ca="1">((K35)-J47)</f>
        <v>0.90341088506870881</v>
      </c>
      <c r="K49" s="196"/>
      <c r="L49" s="196"/>
      <c r="M49" s="196"/>
      <c r="N49" s="196"/>
      <c r="O49" s="1"/>
      <c r="P49" s="1"/>
      <c r="R49" s="54"/>
      <c r="S49" s="161"/>
      <c r="T49" s="117"/>
      <c r="X49" s="13" t="s">
        <v>5</v>
      </c>
      <c r="AC49" s="85"/>
      <c r="AE49" s="85"/>
      <c r="AF49" s="85"/>
      <c r="AG49" s="86"/>
      <c r="AJ49" s="86"/>
    </row>
    <row r="50" spans="1:48">
      <c r="A50" s="1"/>
      <c r="B50" s="1"/>
      <c r="C50" s="1"/>
      <c r="D50" s="1"/>
      <c r="E50" s="1"/>
      <c r="F50" s="1"/>
      <c r="G50" s="1"/>
      <c r="H50" s="1"/>
      <c r="I50" s="1"/>
      <c r="J50" s="1"/>
      <c r="K50" s="128"/>
      <c r="L50" s="1"/>
      <c r="M50" s="1"/>
      <c r="N50" s="129"/>
      <c r="O50" s="1"/>
      <c r="P50" s="1"/>
      <c r="R50" s="165">
        <f ca="1">+V44</f>
        <v>0.92345999999999995</v>
      </c>
      <c r="S50" s="163" t="s">
        <v>52</v>
      </c>
      <c r="T50" s="130"/>
      <c r="X50" s="13" t="s">
        <v>6</v>
      </c>
      <c r="AC50" s="85"/>
      <c r="AE50" s="85"/>
      <c r="AF50" s="85"/>
      <c r="AG50" s="86"/>
      <c r="AH50" s="85"/>
      <c r="AJ50" s="86"/>
      <c r="AN50" s="85"/>
      <c r="AO50" s="85"/>
      <c r="AP50" s="85"/>
      <c r="AQ50" s="85"/>
      <c r="AR50" s="85"/>
      <c r="AS50" s="85"/>
      <c r="AT50" s="85"/>
      <c r="AU50" s="85"/>
      <c r="AV50" s="85"/>
    </row>
    <row r="51" spans="1:4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3"/>
      <c r="AB51" s="86"/>
      <c r="AC51" s="85"/>
      <c r="AE51" s="85"/>
      <c r="AF51" s="85"/>
      <c r="AG51" s="86"/>
      <c r="AH51" s="84"/>
      <c r="AJ51" s="86"/>
      <c r="AN51" s="85"/>
      <c r="AO51" s="85"/>
      <c r="AP51" s="85"/>
      <c r="AQ51" s="85"/>
      <c r="AR51" s="85"/>
      <c r="AS51" s="85"/>
      <c r="AT51" s="85"/>
      <c r="AU51" s="85"/>
      <c r="AV51" s="85"/>
    </row>
    <row r="52" spans="1:48">
      <c r="A52" s="1"/>
      <c r="B52" s="1"/>
      <c r="C52" s="1"/>
      <c r="D52" s="1"/>
      <c r="E52" s="1"/>
      <c r="F52" s="1"/>
      <c r="G52" s="1"/>
      <c r="H52" s="1"/>
      <c r="I52" s="1"/>
      <c r="J52" s="131"/>
      <c r="K52" s="131"/>
      <c r="L52" s="131"/>
      <c r="M52" s="131"/>
      <c r="N52" s="1"/>
      <c r="O52" s="1"/>
      <c r="P52" s="1"/>
      <c r="R52" s="13"/>
      <c r="AB52" s="86"/>
      <c r="AC52" s="85"/>
      <c r="AE52" s="85"/>
      <c r="AF52" s="85"/>
      <c r="AG52" s="86"/>
      <c r="AH52" s="84"/>
      <c r="AJ52" s="86"/>
      <c r="AN52" s="85"/>
      <c r="AO52" s="85"/>
      <c r="AP52" s="85"/>
      <c r="AQ52" s="85"/>
      <c r="AR52" s="85"/>
      <c r="AS52" s="85"/>
      <c r="AT52" s="85"/>
      <c r="AU52" s="85"/>
      <c r="AV52" s="85"/>
    </row>
    <row r="53" spans="1:48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31"/>
      <c r="L53" s="131"/>
      <c r="M53" s="131"/>
      <c r="N53" s="1"/>
      <c r="O53" s="1"/>
      <c r="P53" s="1"/>
      <c r="R53" s="13"/>
      <c r="S53" s="13" t="s">
        <v>98</v>
      </c>
      <c r="T53" s="85"/>
      <c r="U53" s="133"/>
      <c r="W53" s="134" t="s">
        <v>99</v>
      </c>
      <c r="X53" s="135"/>
      <c r="Y53" s="135"/>
      <c r="Z53" s="135"/>
      <c r="AA53" s="135"/>
      <c r="AB53" s="135"/>
      <c r="AE53" s="85"/>
      <c r="AH53" s="84"/>
      <c r="AJ53" s="86"/>
      <c r="AN53" s="85"/>
      <c r="AO53" s="85"/>
      <c r="AP53" s="85"/>
      <c r="AQ53" s="85"/>
      <c r="AR53" s="85"/>
      <c r="AS53" s="85"/>
      <c r="AT53" s="85"/>
      <c r="AU53" s="85"/>
      <c r="AV53" s="85"/>
    </row>
    <row r="54" spans="1:4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32"/>
      <c r="M54" s="132"/>
      <c r="N54" s="1"/>
      <c r="O54" s="1"/>
      <c r="P54" s="1"/>
      <c r="R54" s="136"/>
      <c r="S54" s="137" t="s">
        <v>78</v>
      </c>
      <c r="T54" s="137" t="s">
        <v>100</v>
      </c>
      <c r="U54" s="138" t="s">
        <v>81</v>
      </c>
      <c r="W54" s="139" t="s">
        <v>101</v>
      </c>
      <c r="X54" s="140">
        <v>5.7225999999999999</v>
      </c>
      <c r="Y54" s="141" t="s">
        <v>102</v>
      </c>
      <c r="Z54" s="142">
        <v>5.6985000000000001</v>
      </c>
      <c r="AC54" s="17"/>
      <c r="AE54" s="85"/>
      <c r="AJ54" s="86"/>
    </row>
    <row r="55" spans="1:48">
      <c r="A55" s="1"/>
      <c r="B55" s="1"/>
      <c r="C55" s="1"/>
      <c r="D55" s="1"/>
      <c r="E55" s="1"/>
      <c r="F55" s="1"/>
      <c r="G55" s="1"/>
      <c r="H55" s="1"/>
      <c r="I55" s="1"/>
      <c r="J55" s="132"/>
      <c r="K55" s="1"/>
      <c r="L55" s="132"/>
      <c r="M55" s="132"/>
      <c r="N55" s="1"/>
      <c r="O55" s="1"/>
      <c r="P55" s="1"/>
      <c r="R55" s="9" t="s">
        <v>50</v>
      </c>
      <c r="S55" s="167">
        <v>0.56200000000000006</v>
      </c>
      <c r="T55" s="167">
        <v>6.3799999999999996E-2</v>
      </c>
      <c r="U55" s="166">
        <f>ROUND(+S55*T55,5)</f>
        <v>3.5860000000000003E-2</v>
      </c>
      <c r="W55" s="145" t="s">
        <v>103</v>
      </c>
      <c r="X55" s="146">
        <v>5.7082699999999997</v>
      </c>
      <c r="Y55" s="147" t="s">
        <v>104</v>
      </c>
      <c r="Z55" s="148">
        <v>5.6921999999999997</v>
      </c>
      <c r="AC55" s="85"/>
      <c r="AE55" s="85"/>
      <c r="AF55" s="85"/>
      <c r="AG55" s="86"/>
      <c r="AJ55" s="86"/>
    </row>
    <row r="56" spans="1:48" ht="15.6">
      <c r="A56" s="1"/>
      <c r="B56" s="1"/>
      <c r="C56" s="1"/>
      <c r="D56" s="1"/>
      <c r="E56" s="131"/>
      <c r="F56" s="1"/>
      <c r="G56" s="1"/>
      <c r="H56" s="1"/>
      <c r="I56" s="1"/>
      <c r="J56" s="132"/>
      <c r="K56" s="1"/>
      <c r="L56" s="132"/>
      <c r="M56" s="132"/>
      <c r="N56" s="1"/>
      <c r="O56" s="1"/>
      <c r="P56" s="1"/>
      <c r="R56" s="9" t="s">
        <v>105</v>
      </c>
      <c r="S56" s="167">
        <v>9.4E-2</v>
      </c>
      <c r="T56" s="167">
        <v>6.59E-2</v>
      </c>
      <c r="U56" s="166">
        <f>ROUND(+S56*T56,5)</f>
        <v>6.1900000000000002E-3</v>
      </c>
      <c r="W56" s="9"/>
      <c r="X56" s="116"/>
      <c r="Y56" s="150"/>
      <c r="Z56" s="151"/>
      <c r="AC56" s="85"/>
      <c r="AE56" s="85"/>
      <c r="AF56" s="85"/>
      <c r="AG56" s="86"/>
      <c r="AH56" s="84"/>
      <c r="AJ56" s="86"/>
      <c r="AN56" s="85"/>
    </row>
    <row r="57" spans="1:48">
      <c r="A57" s="1"/>
      <c r="B57" s="1"/>
      <c r="C57" s="1"/>
      <c r="D57" s="1"/>
      <c r="E57" s="131"/>
      <c r="F57" s="131"/>
      <c r="G57" s="131"/>
      <c r="H57" s="149"/>
      <c r="I57" s="131"/>
      <c r="J57" s="132"/>
      <c r="K57" s="1"/>
      <c r="L57" s="1"/>
      <c r="M57" s="1"/>
      <c r="N57" s="1"/>
      <c r="O57" s="1"/>
      <c r="P57" s="1"/>
      <c r="R57" s="9" t="s">
        <v>48</v>
      </c>
      <c r="S57" s="164">
        <v>0.34399999999999997</v>
      </c>
      <c r="T57" s="143"/>
      <c r="U57" s="144"/>
      <c r="W57" s="152"/>
      <c r="X57" s="153" t="s">
        <v>106</v>
      </c>
      <c r="Y57" s="154">
        <v>0.68367</v>
      </c>
      <c r="Z57" s="155"/>
      <c r="AC57" s="85"/>
      <c r="AE57" s="85"/>
      <c r="AF57" s="85"/>
      <c r="AG57" s="86"/>
      <c r="AH57" s="84"/>
      <c r="AJ57" s="86"/>
    </row>
    <row r="58" spans="1:4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52"/>
      <c r="S58" s="164">
        <f>SUM(S55:S57)</f>
        <v>1</v>
      </c>
      <c r="T58" s="156"/>
      <c r="U58" s="157"/>
      <c r="X58" s="85"/>
      <c r="Y58" s="85"/>
      <c r="Z58" s="85"/>
      <c r="AA58" s="100"/>
      <c r="AB58" s="86"/>
      <c r="AC58" s="85"/>
      <c r="AE58" s="85"/>
      <c r="AF58" s="85"/>
      <c r="AG58" s="86"/>
      <c r="AH58" s="84"/>
      <c r="AJ58" s="86"/>
    </row>
    <row r="59" spans="1:4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X59" s="158"/>
      <c r="Y59" s="158"/>
      <c r="Z59" s="158"/>
      <c r="AE59" s="85"/>
      <c r="AH59" s="84"/>
      <c r="AJ59" s="86"/>
      <c r="AN59" s="84"/>
      <c r="AO59" s="84"/>
      <c r="AP59" s="84"/>
      <c r="AQ59" s="84"/>
      <c r="AR59" s="84"/>
      <c r="AS59" s="84"/>
      <c r="AT59" s="84"/>
      <c r="AU59" s="84"/>
      <c r="AV59" s="84"/>
    </row>
    <row r="60" spans="1:48">
      <c r="A60" s="1"/>
      <c r="B60" s="1"/>
      <c r="C60" s="1"/>
      <c r="D60" s="1"/>
      <c r="E60" s="13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3"/>
      <c r="S60" s="159"/>
      <c r="W60" s="136"/>
      <c r="X60" s="168" t="s">
        <v>86</v>
      </c>
      <c r="Y60" s="168" t="s">
        <v>107</v>
      </c>
      <c r="Z60" s="169" t="s">
        <v>34</v>
      </c>
      <c r="AE60" s="85"/>
      <c r="AJ60" s="86"/>
      <c r="AN60" s="84"/>
      <c r="AO60" s="84"/>
      <c r="AP60" s="84"/>
      <c r="AQ60" s="84"/>
      <c r="AR60" s="84"/>
      <c r="AS60" s="84"/>
      <c r="AT60" s="84"/>
      <c r="AU60" s="84"/>
      <c r="AV60" s="84"/>
    </row>
    <row r="61" spans="1:48">
      <c r="A61" s="1"/>
      <c r="B61" s="1"/>
      <c r="C61" s="1"/>
      <c r="D61" s="1"/>
      <c r="E61" s="1"/>
      <c r="F61" s="131"/>
      <c r="G61" s="131"/>
      <c r="H61" s="131"/>
      <c r="I61" s="131"/>
      <c r="J61" s="131"/>
      <c r="K61" s="131"/>
      <c r="L61" s="131"/>
      <c r="M61" s="131"/>
      <c r="N61" s="131"/>
      <c r="O61" s="1"/>
      <c r="P61" s="1"/>
      <c r="R61" s="13"/>
      <c r="W61" s="9"/>
      <c r="X61" s="170"/>
      <c r="Y61" s="170"/>
      <c r="Z61" s="171"/>
      <c r="AE61" s="85"/>
      <c r="AF61" s="85"/>
      <c r="AG61" s="86"/>
      <c r="AJ61" s="86"/>
      <c r="AN61" s="84"/>
      <c r="AO61" s="84"/>
      <c r="AP61" s="84"/>
      <c r="AQ61" s="84"/>
      <c r="AR61" s="84"/>
      <c r="AS61" s="84"/>
      <c r="AT61" s="84"/>
      <c r="AU61" s="84"/>
      <c r="AV61" s="84"/>
    </row>
    <row r="62" spans="1:4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R62" s="13"/>
      <c r="S62" s="159"/>
      <c r="W62" s="9"/>
      <c r="X62" s="119" t="s">
        <v>89</v>
      </c>
      <c r="Y62" s="120">
        <f t="shared" ref="Y62:Z67" ca="1" si="20">+J33</f>
        <v>0.13675849522448183</v>
      </c>
      <c r="Z62" s="120">
        <f t="shared" ca="1" si="20"/>
        <v>0.11433921122734064</v>
      </c>
      <c r="AE62" s="85"/>
      <c r="AF62" s="85"/>
      <c r="AG62" s="86"/>
      <c r="AH62" s="84"/>
      <c r="AJ62" s="86"/>
      <c r="AN62" s="84"/>
      <c r="AO62" s="84"/>
      <c r="AP62" s="84"/>
      <c r="AQ62" s="84"/>
      <c r="AR62" s="84"/>
      <c r="AS62" s="84"/>
      <c r="AT62" s="84"/>
      <c r="AU62" s="84"/>
      <c r="AV62" s="84"/>
    </row>
    <row r="63" spans="1:4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R63" s="13"/>
      <c r="W63" s="9"/>
      <c r="X63" s="119" t="s">
        <v>90</v>
      </c>
      <c r="Y63" s="120">
        <f t="shared" ca="1" si="20"/>
        <v>0.26689623806120455</v>
      </c>
      <c r="Z63" s="120">
        <f t="shared" ca="1" si="20"/>
        <v>0.2108480280683516</v>
      </c>
      <c r="AE63" s="85"/>
      <c r="AF63" s="85"/>
      <c r="AG63" s="86"/>
      <c r="AH63" s="84"/>
      <c r="AJ63" s="86"/>
    </row>
    <row r="64" spans="1:48">
      <c r="A64" s="13" t="b">
        <v>1</v>
      </c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R64" s="13"/>
      <c r="S64" s="159"/>
      <c r="W64" s="9"/>
      <c r="X64" s="119" t="s">
        <v>52</v>
      </c>
      <c r="Y64" s="120">
        <f t="shared" ca="1" si="20"/>
        <v>0.92346000000000006</v>
      </c>
      <c r="Z64" s="120">
        <f t="shared" ca="1" si="20"/>
        <v>0.92351088506870882</v>
      </c>
      <c r="AE64" s="85"/>
      <c r="AF64" s="85"/>
      <c r="AG64" s="86"/>
      <c r="AH64" s="84"/>
      <c r="AJ64" s="86"/>
    </row>
    <row r="65" spans="8:40">
      <c r="H65" s="84"/>
      <c r="I65" s="84"/>
      <c r="J65" s="84"/>
      <c r="K65" s="84"/>
      <c r="L65" s="84"/>
      <c r="M65" s="84"/>
      <c r="N65" s="84"/>
      <c r="O65" s="84"/>
      <c r="R65" s="13"/>
      <c r="W65" s="9"/>
      <c r="X65" s="119" t="s">
        <v>91</v>
      </c>
      <c r="Y65" s="120">
        <f t="shared" ca="1" si="20"/>
        <v>7.6539999999999997E-2</v>
      </c>
      <c r="Z65" s="120">
        <f t="shared" ca="1" si="20"/>
        <v>7.6539999999999997E-2</v>
      </c>
      <c r="AE65" s="85"/>
      <c r="AH65" s="84"/>
      <c r="AJ65" s="86"/>
      <c r="AN65" s="84"/>
    </row>
    <row r="66" spans="8:40">
      <c r="H66" s="84"/>
      <c r="I66" s="84"/>
      <c r="J66" s="84"/>
      <c r="K66" s="84"/>
      <c r="L66" s="84"/>
      <c r="M66" s="84"/>
      <c r="N66" s="84"/>
      <c r="O66" s="84"/>
      <c r="R66" s="13"/>
      <c r="S66" s="159"/>
      <c r="W66" s="9"/>
      <c r="X66" s="119" t="s">
        <v>93</v>
      </c>
      <c r="Y66" s="120">
        <f t="shared" ca="1" si="20"/>
        <v>1.7869639178023333</v>
      </c>
      <c r="Z66" s="120">
        <f t="shared" ca="1" si="20"/>
        <v>1.7869639178023333</v>
      </c>
      <c r="AE66" s="85"/>
      <c r="AJ66" s="86"/>
    </row>
    <row r="67" spans="8:40">
      <c r="O67" s="84"/>
      <c r="W67" s="152"/>
      <c r="X67" s="172" t="s">
        <v>10</v>
      </c>
      <c r="Y67" s="173">
        <f t="shared" si="20"/>
        <v>0.21</v>
      </c>
      <c r="Z67" s="173">
        <f t="shared" si="20"/>
        <v>0.21</v>
      </c>
      <c r="AE67" s="85"/>
      <c r="AF67" s="85"/>
      <c r="AG67" s="86"/>
      <c r="AJ67" s="86"/>
    </row>
    <row r="68" spans="8:40">
      <c r="O68" s="84"/>
      <c r="W68" s="119"/>
      <c r="AE68" s="85"/>
      <c r="AF68" s="85"/>
      <c r="AG68" s="86"/>
      <c r="AH68" s="84"/>
      <c r="AJ68" s="86"/>
    </row>
    <row r="69" spans="8:40">
      <c r="O69" s="84"/>
      <c r="X69" s="85"/>
      <c r="Y69" s="85"/>
      <c r="Z69" s="85"/>
      <c r="AA69" s="100"/>
      <c r="AB69" s="86"/>
      <c r="AC69" s="85"/>
      <c r="AE69" s="85"/>
      <c r="AF69" s="85"/>
      <c r="AG69" s="86"/>
      <c r="AH69" s="84"/>
      <c r="AJ69" s="86"/>
    </row>
    <row r="70" spans="8:40">
      <c r="X70" s="85"/>
      <c r="Y70" s="85"/>
      <c r="Z70" s="85"/>
      <c r="AA70" s="100"/>
      <c r="AB70" s="86"/>
      <c r="AC70" s="85"/>
      <c r="AE70" s="85"/>
      <c r="AF70" s="85"/>
      <c r="AG70" s="86"/>
      <c r="AH70" s="84"/>
      <c r="AJ70" s="86"/>
    </row>
    <row r="71" spans="8:40">
      <c r="AE71" s="85"/>
      <c r="AH71" s="84"/>
      <c r="AJ71" s="86"/>
    </row>
    <row r="72" spans="8:40">
      <c r="AA72" s="17"/>
      <c r="AB72" s="17"/>
      <c r="AC72" s="17"/>
      <c r="AE72" s="85"/>
      <c r="AJ72" s="86"/>
    </row>
    <row r="73" spans="8:40">
      <c r="X73" s="85"/>
      <c r="Y73" s="85"/>
      <c r="Z73" s="85"/>
      <c r="AA73" s="100"/>
      <c r="AB73" s="86"/>
      <c r="AC73" s="85"/>
      <c r="AE73" s="85"/>
      <c r="AF73" s="85"/>
      <c r="AG73" s="86"/>
      <c r="AJ73" s="86"/>
    </row>
    <row r="74" spans="8:40">
      <c r="X74" s="85"/>
      <c r="Y74" s="85"/>
      <c r="Z74" s="85"/>
      <c r="AA74" s="100"/>
      <c r="AB74" s="86"/>
      <c r="AC74" s="85"/>
      <c r="AE74" s="85"/>
      <c r="AF74" s="85"/>
      <c r="AG74" s="86"/>
      <c r="AH74" s="84"/>
      <c r="AJ74" s="86"/>
    </row>
    <row r="75" spans="8:40">
      <c r="X75" s="85"/>
      <c r="Y75" s="85"/>
      <c r="Z75" s="85"/>
      <c r="AA75" s="100"/>
      <c r="AB75" s="86"/>
      <c r="AC75" s="85"/>
      <c r="AE75" s="85"/>
      <c r="AF75" s="85"/>
      <c r="AG75" s="86"/>
      <c r="AH75" s="84"/>
      <c r="AJ75" s="86"/>
    </row>
    <row r="76" spans="8:40">
      <c r="X76" s="85"/>
      <c r="Y76" s="85"/>
      <c r="Z76" s="85"/>
      <c r="AA76" s="100"/>
      <c r="AB76" s="86"/>
      <c r="AC76" s="85"/>
      <c r="AE76" s="85"/>
      <c r="AF76" s="85"/>
      <c r="AG76" s="86"/>
      <c r="AH76" s="84"/>
      <c r="AJ76" s="86"/>
    </row>
    <row r="77" spans="8:40">
      <c r="AE77" s="85"/>
      <c r="AH77" s="84"/>
      <c r="AJ77" s="86"/>
    </row>
    <row r="79" spans="8:40">
      <c r="X79" s="85"/>
      <c r="Y79" s="85"/>
      <c r="Z79" s="85"/>
      <c r="AA79" s="100"/>
      <c r="AB79" s="86"/>
      <c r="AC79" s="85"/>
      <c r="AF79" s="85"/>
      <c r="AG79" s="86"/>
    </row>
    <row r="80" spans="8:40">
      <c r="X80" s="85"/>
      <c r="Y80" s="85"/>
      <c r="Z80" s="85"/>
      <c r="AA80" s="100"/>
      <c r="AB80" s="86"/>
      <c r="AC80" s="85"/>
      <c r="AF80" s="85"/>
      <c r="AG80" s="86"/>
      <c r="AH80" s="84"/>
    </row>
    <row r="81" spans="24:34">
      <c r="X81" s="85"/>
      <c r="Y81" s="85"/>
      <c r="Z81" s="85"/>
      <c r="AA81" s="100"/>
      <c r="AB81" s="86"/>
      <c r="AC81" s="85"/>
      <c r="AF81" s="85"/>
      <c r="AG81" s="86"/>
      <c r="AH81" s="84"/>
    </row>
    <row r="82" spans="24:34">
      <c r="X82" s="85"/>
      <c r="Y82" s="85"/>
      <c r="Z82" s="85"/>
      <c r="AA82" s="100"/>
      <c r="AB82" s="86"/>
      <c r="AC82" s="85"/>
      <c r="AF82" s="85"/>
      <c r="AG82" s="86"/>
      <c r="AH82" s="84"/>
    </row>
    <row r="83" spans="24:34">
      <c r="AH83" s="84"/>
    </row>
    <row r="85" spans="24:34">
      <c r="X85" s="85"/>
      <c r="Y85" s="85"/>
      <c r="Z85" s="85"/>
      <c r="AA85" s="100"/>
      <c r="AB85" s="86"/>
      <c r="AC85" s="85"/>
      <c r="AF85" s="85"/>
      <c r="AG85" s="86"/>
    </row>
    <row r="86" spans="24:34">
      <c r="X86" s="85"/>
      <c r="Y86" s="85"/>
      <c r="Z86" s="85"/>
      <c r="AA86" s="100"/>
      <c r="AB86" s="86"/>
      <c r="AC86" s="85"/>
      <c r="AF86" s="85"/>
      <c r="AG86" s="86"/>
      <c r="AH86" s="84"/>
    </row>
    <row r="87" spans="24:34">
      <c r="X87" s="85"/>
      <c r="Y87" s="85"/>
      <c r="Z87" s="85"/>
      <c r="AA87" s="100"/>
      <c r="AB87" s="86"/>
      <c r="AC87" s="85"/>
      <c r="AF87" s="85"/>
      <c r="AG87" s="86"/>
      <c r="AH87" s="84"/>
    </row>
    <row r="88" spans="24:34">
      <c r="X88" s="85"/>
      <c r="Y88" s="85"/>
      <c r="Z88" s="85"/>
      <c r="AA88" s="100"/>
      <c r="AB88" s="86"/>
      <c r="AC88" s="85"/>
      <c r="AF88" s="85"/>
      <c r="AG88" s="86"/>
      <c r="AH88" s="84"/>
    </row>
    <row r="89" spans="24:34">
      <c r="AH89" s="84"/>
    </row>
    <row r="91" spans="24:34">
      <c r="X91" s="85"/>
      <c r="Y91" s="85"/>
      <c r="Z91" s="85"/>
      <c r="AA91" s="100"/>
      <c r="AB91" s="86"/>
      <c r="AC91" s="85"/>
      <c r="AF91" s="85"/>
      <c r="AG91" s="86"/>
    </row>
    <row r="92" spans="24:34">
      <c r="X92" s="85"/>
      <c r="Y92" s="85"/>
      <c r="Z92" s="85"/>
      <c r="AA92" s="100"/>
      <c r="AB92" s="86"/>
      <c r="AC92" s="85"/>
      <c r="AF92" s="85"/>
      <c r="AG92" s="86"/>
      <c r="AH92" s="84"/>
    </row>
    <row r="93" spans="24:34">
      <c r="X93" s="85"/>
      <c r="Y93" s="85"/>
      <c r="Z93" s="85"/>
      <c r="AA93" s="100"/>
      <c r="AB93" s="86"/>
      <c r="AC93" s="85"/>
      <c r="AF93" s="85"/>
      <c r="AG93" s="86"/>
      <c r="AH93" s="84"/>
    </row>
    <row r="94" spans="24:34">
      <c r="X94" s="85"/>
      <c r="Y94" s="85"/>
      <c r="Z94" s="85"/>
      <c r="AA94" s="100"/>
      <c r="AB94" s="86"/>
      <c r="AC94" s="85"/>
      <c r="AF94" s="85"/>
      <c r="AG94" s="86"/>
      <c r="AH94" s="84"/>
    </row>
    <row r="95" spans="24:34">
      <c r="AH95" s="84"/>
    </row>
    <row r="97" spans="24:34">
      <c r="X97" s="85"/>
      <c r="Y97" s="85"/>
      <c r="Z97" s="85"/>
      <c r="AA97" s="100"/>
      <c r="AB97" s="86"/>
      <c r="AC97" s="85"/>
      <c r="AF97" s="85"/>
      <c r="AG97" s="86"/>
    </row>
    <row r="98" spans="24:34">
      <c r="X98" s="85"/>
      <c r="Y98" s="85"/>
      <c r="Z98" s="85"/>
      <c r="AA98" s="100"/>
      <c r="AB98" s="86"/>
      <c r="AC98" s="85"/>
      <c r="AF98" s="85"/>
      <c r="AG98" s="86"/>
      <c r="AH98" s="84"/>
    </row>
    <row r="99" spans="24:34">
      <c r="X99" s="85"/>
      <c r="Y99" s="85"/>
      <c r="Z99" s="85"/>
      <c r="AA99" s="100"/>
      <c r="AB99" s="86"/>
      <c r="AC99" s="85"/>
      <c r="AF99" s="85"/>
      <c r="AG99" s="86"/>
      <c r="AH99" s="84"/>
    </row>
    <row r="100" spans="24:34">
      <c r="X100" s="85"/>
      <c r="Y100" s="85"/>
      <c r="Z100" s="85"/>
      <c r="AA100" s="100"/>
      <c r="AB100" s="86"/>
      <c r="AC100" s="85"/>
      <c r="AF100" s="85"/>
      <c r="AG100" s="86"/>
      <c r="AH100" s="84"/>
    </row>
    <row r="101" spans="24:34">
      <c r="AH101" s="84"/>
    </row>
    <row r="103" spans="24:34">
      <c r="X103" s="85"/>
      <c r="Y103" s="85"/>
      <c r="Z103" s="85"/>
      <c r="AA103" s="100"/>
      <c r="AB103" s="86"/>
      <c r="AC103" s="85"/>
      <c r="AF103" s="85"/>
      <c r="AG103" s="86"/>
    </row>
    <row r="104" spans="24:34">
      <c r="X104" s="85"/>
      <c r="Y104" s="85"/>
      <c r="Z104" s="85"/>
      <c r="AA104" s="100"/>
      <c r="AB104" s="86"/>
      <c r="AC104" s="85"/>
      <c r="AF104" s="85"/>
      <c r="AG104" s="86"/>
      <c r="AH104" s="84"/>
    </row>
    <row r="105" spans="24:34">
      <c r="X105" s="85"/>
      <c r="Y105" s="85"/>
      <c r="Z105" s="85"/>
      <c r="AA105" s="100"/>
      <c r="AB105" s="86"/>
      <c r="AC105" s="85"/>
      <c r="AF105" s="85"/>
      <c r="AG105" s="86"/>
      <c r="AH105" s="84"/>
    </row>
    <row r="106" spans="24:34">
      <c r="X106" s="85"/>
      <c r="Y106" s="85"/>
      <c r="Z106" s="85"/>
      <c r="AA106" s="100"/>
      <c r="AB106" s="86"/>
      <c r="AC106" s="85"/>
      <c r="AF106" s="85"/>
      <c r="AG106" s="86"/>
      <c r="AH106" s="84"/>
    </row>
    <row r="107" spans="24:34">
      <c r="AH107" s="84"/>
    </row>
    <row r="109" spans="24:34">
      <c r="X109" s="85"/>
      <c r="Y109" s="85"/>
      <c r="Z109" s="85"/>
      <c r="AA109" s="100"/>
      <c r="AB109" s="86"/>
      <c r="AC109" s="85"/>
      <c r="AF109" s="85"/>
      <c r="AG109" s="86"/>
    </row>
    <row r="110" spans="24:34">
      <c r="X110" s="85"/>
      <c r="Y110" s="85"/>
      <c r="Z110" s="85"/>
      <c r="AA110" s="100"/>
      <c r="AB110" s="86"/>
      <c r="AC110" s="85"/>
      <c r="AF110" s="85"/>
      <c r="AG110" s="86"/>
    </row>
    <row r="111" spans="24:34">
      <c r="X111" s="85"/>
      <c r="Y111" s="85"/>
      <c r="Z111" s="85"/>
      <c r="AA111" s="100"/>
      <c r="AB111" s="86"/>
      <c r="AC111" s="85"/>
      <c r="AF111" s="85"/>
      <c r="AG111" s="86"/>
    </row>
    <row r="112" spans="24:34">
      <c r="X112" s="85"/>
      <c r="Y112" s="85"/>
      <c r="Z112" s="85"/>
      <c r="AA112" s="100"/>
      <c r="AB112" s="86"/>
      <c r="AC112" s="85"/>
      <c r="AF112" s="85"/>
      <c r="AG112" s="86"/>
    </row>
  </sheetData>
  <mergeCells count="5">
    <mergeCell ref="B2:C2"/>
    <mergeCell ref="AH2:AK2"/>
    <mergeCell ref="B18:C18"/>
    <mergeCell ref="B19:C19"/>
    <mergeCell ref="L31:N31"/>
  </mergeCells>
  <pageMargins left="0.25" right="0.25" top="0.3" bottom="0.44" header="0.23" footer="0.21"/>
  <pageSetup scale="91" orientation="portrait" horizontalDpi="4294967292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45" r:id="rId4" name="DataCompleted">
          <controlPr defaultSize="0" autoFill="0" autoLine="0" autoPict="0" linkedCell="A64" r:id="rId5">
            <anchor moveWithCells="1">
              <from>
                <xdr:col>2</xdr:col>
                <xdr:colOff>114300</xdr:colOff>
                <xdr:row>15</xdr:row>
                <xdr:rowOff>182880</xdr:rowOff>
              </from>
              <to>
                <xdr:col>2</xdr:col>
                <xdr:colOff>342900</xdr:colOff>
                <xdr:row>17</xdr:row>
                <xdr:rowOff>7620</xdr:rowOff>
              </to>
            </anchor>
          </controlPr>
        </control>
      </mc:Choice>
      <mc:Fallback>
        <control shapeId="6145" r:id="rId4" name="DataCompleted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3:X39"/>
  <sheetViews>
    <sheetView showGridLines="0" zoomScale="80" zoomScaleNormal="80" workbookViewId="0">
      <selection activeCell="Y5" sqref="Y5"/>
    </sheetView>
  </sheetViews>
  <sheetFormatPr defaultRowHeight="15.6"/>
  <sheetData>
    <row r="3" spans="3:24" ht="24.6">
      <c r="C3" s="202" t="s">
        <v>140</v>
      </c>
    </row>
    <row r="4" spans="3:24" ht="25.2">
      <c r="C4" s="201" t="s">
        <v>132</v>
      </c>
    </row>
    <row r="5" spans="3:24" ht="25.2">
      <c r="C5" s="201" t="s">
        <v>133</v>
      </c>
    </row>
    <row r="6" spans="3:24" ht="25.2">
      <c r="C6" s="201"/>
    </row>
    <row r="8" spans="3:24" ht="20.399999999999999">
      <c r="C8" s="194" t="s">
        <v>137</v>
      </c>
      <c r="D8" s="185"/>
      <c r="E8" s="185"/>
      <c r="F8" s="185"/>
      <c r="G8" s="185"/>
      <c r="H8" s="185"/>
      <c r="I8" s="185"/>
      <c r="J8" s="185"/>
      <c r="K8" s="185"/>
      <c r="N8" s="185"/>
      <c r="O8" s="194" t="s">
        <v>127</v>
      </c>
      <c r="P8" s="185"/>
      <c r="Q8" s="185"/>
      <c r="R8" s="185"/>
      <c r="S8" s="185"/>
      <c r="T8" s="185"/>
      <c r="U8" s="185"/>
      <c r="V8" s="185"/>
      <c r="W8" s="185"/>
      <c r="X8" s="185"/>
    </row>
    <row r="9" spans="3:24">
      <c r="C9" s="185"/>
      <c r="D9" s="185"/>
      <c r="E9" s="185"/>
      <c r="F9" s="185"/>
      <c r="G9" s="185"/>
      <c r="H9" s="185"/>
      <c r="I9" s="185"/>
      <c r="J9" s="185"/>
      <c r="K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</row>
    <row r="10" spans="3:24" ht="17.399999999999999">
      <c r="C10" s="186" t="s">
        <v>130</v>
      </c>
      <c r="D10" s="185"/>
      <c r="E10" s="185"/>
      <c r="F10" s="185"/>
      <c r="G10" s="185"/>
      <c r="H10" s="185"/>
      <c r="I10" s="185"/>
      <c r="J10" s="185"/>
      <c r="K10" s="185"/>
      <c r="N10" s="185"/>
      <c r="O10" s="186" t="s">
        <v>128</v>
      </c>
      <c r="P10" s="185"/>
      <c r="Q10" s="185"/>
      <c r="R10" s="185"/>
      <c r="S10" s="185"/>
      <c r="T10" s="185"/>
      <c r="U10" s="185"/>
      <c r="V10" s="185"/>
      <c r="W10" s="185"/>
      <c r="X10" s="185"/>
    </row>
    <row r="11" spans="3:24" ht="17.399999999999999">
      <c r="C11" s="186" t="s">
        <v>131</v>
      </c>
      <c r="D11" s="186"/>
      <c r="E11" s="185"/>
      <c r="F11" s="185"/>
      <c r="G11" s="185"/>
      <c r="H11" s="185"/>
      <c r="I11" s="185"/>
      <c r="J11" s="185"/>
      <c r="K11" s="185"/>
      <c r="N11" s="185"/>
      <c r="O11" s="186" t="s">
        <v>134</v>
      </c>
      <c r="P11" s="185"/>
      <c r="Q11" s="185"/>
      <c r="R11" s="185"/>
      <c r="S11" s="185"/>
      <c r="T11" s="185"/>
      <c r="U11" s="185"/>
      <c r="V11" s="185"/>
      <c r="W11" s="185"/>
      <c r="X11" s="185"/>
    </row>
    <row r="12" spans="3:24" ht="17.399999999999999">
      <c r="C12" s="186" t="s">
        <v>135</v>
      </c>
      <c r="D12" s="185"/>
      <c r="E12" s="185"/>
      <c r="F12" s="185"/>
      <c r="G12" s="185"/>
      <c r="H12" s="185"/>
      <c r="I12" s="185"/>
      <c r="J12" s="185"/>
      <c r="K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</row>
    <row r="13" spans="3:24" ht="17.399999999999999">
      <c r="C13" s="186" t="s">
        <v>136</v>
      </c>
      <c r="D13" s="185"/>
      <c r="E13" s="185"/>
      <c r="F13" s="185"/>
      <c r="G13" s="185"/>
      <c r="H13" s="185"/>
      <c r="I13" s="185"/>
      <c r="J13" s="185"/>
      <c r="K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</row>
    <row r="14" spans="3:24">
      <c r="C14" s="185"/>
      <c r="D14" s="185"/>
      <c r="E14" s="185"/>
      <c r="F14" s="185"/>
      <c r="G14" s="185"/>
      <c r="H14" s="185"/>
      <c r="I14" s="185"/>
      <c r="J14" s="185"/>
      <c r="K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</row>
    <row r="15" spans="3:24">
      <c r="C15" s="185"/>
      <c r="D15" s="185"/>
      <c r="E15" s="185"/>
      <c r="F15" s="185"/>
      <c r="G15" s="185"/>
      <c r="H15" s="185"/>
      <c r="I15" s="185"/>
      <c r="J15" s="185"/>
      <c r="K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</row>
    <row r="16" spans="3:24">
      <c r="C16" s="185"/>
      <c r="D16" s="185"/>
      <c r="E16" s="185"/>
      <c r="F16" s="185"/>
      <c r="G16" s="185"/>
      <c r="H16" s="185"/>
      <c r="I16" s="185"/>
      <c r="J16" s="185"/>
      <c r="K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</row>
    <row r="17" spans="3:24">
      <c r="C17" s="185"/>
      <c r="D17" s="185"/>
      <c r="E17" s="185"/>
      <c r="F17" s="185"/>
      <c r="G17" s="185"/>
      <c r="H17" s="185"/>
      <c r="I17" s="185"/>
      <c r="J17" s="185"/>
      <c r="K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</row>
    <row r="18" spans="3:24">
      <c r="C18" s="185"/>
      <c r="D18" s="185"/>
      <c r="E18" s="185"/>
      <c r="F18" s="185"/>
      <c r="G18" s="185"/>
      <c r="H18" s="185"/>
      <c r="I18" s="185"/>
      <c r="J18" s="185"/>
      <c r="K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</row>
    <row r="19" spans="3:24">
      <c r="C19" s="185"/>
      <c r="D19" s="185"/>
      <c r="E19" s="185"/>
      <c r="F19" s="185"/>
      <c r="G19" s="185"/>
      <c r="H19" s="185"/>
      <c r="I19" s="185"/>
      <c r="J19" s="185"/>
      <c r="K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</row>
    <row r="20" spans="3:24">
      <c r="C20" s="185"/>
      <c r="D20" s="185"/>
      <c r="E20" s="185"/>
      <c r="F20" s="185"/>
      <c r="G20" s="185"/>
      <c r="H20" s="185"/>
      <c r="I20" s="185"/>
      <c r="J20" s="185"/>
      <c r="K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</row>
    <row r="21" spans="3:24">
      <c r="C21" s="185"/>
      <c r="D21" s="185"/>
      <c r="E21" s="185"/>
      <c r="F21" s="185"/>
      <c r="G21" s="185"/>
      <c r="H21" s="185"/>
      <c r="I21" s="185"/>
      <c r="J21" s="185"/>
      <c r="K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</row>
    <row r="22" spans="3:24">
      <c r="C22" s="185"/>
      <c r="D22" s="185"/>
      <c r="E22" s="185"/>
      <c r="F22" s="185"/>
      <c r="G22" s="185"/>
      <c r="H22" s="185"/>
      <c r="I22" s="185"/>
      <c r="J22" s="185"/>
      <c r="K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</row>
    <row r="23" spans="3:24">
      <c r="C23" s="185"/>
      <c r="D23" s="185"/>
      <c r="E23" s="185"/>
      <c r="F23" s="185"/>
      <c r="G23" s="185"/>
      <c r="H23" s="185"/>
      <c r="I23" s="185"/>
      <c r="J23" s="185"/>
      <c r="K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</row>
    <row r="24" spans="3:24">
      <c r="C24" s="185"/>
      <c r="D24" s="185"/>
      <c r="E24" s="185"/>
      <c r="F24" s="185"/>
      <c r="G24" s="185"/>
      <c r="H24" s="185"/>
      <c r="I24" s="185"/>
      <c r="J24" s="185"/>
      <c r="K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</row>
    <row r="25" spans="3:24">
      <c r="C25" s="185"/>
      <c r="D25" s="185"/>
      <c r="E25" s="185"/>
      <c r="F25" s="185"/>
      <c r="G25" s="185"/>
      <c r="H25" s="185"/>
      <c r="I25" s="185"/>
      <c r="J25" s="185"/>
      <c r="K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</row>
    <row r="26" spans="3:24">
      <c r="C26" s="185"/>
      <c r="D26" s="185"/>
      <c r="E26" s="185"/>
      <c r="F26" s="185"/>
      <c r="G26" s="185"/>
      <c r="H26" s="185"/>
      <c r="I26" s="185"/>
      <c r="J26" s="185"/>
      <c r="K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</row>
    <row r="27" spans="3:24">
      <c r="C27" s="185"/>
      <c r="D27" s="185"/>
      <c r="E27" s="185"/>
      <c r="F27" s="185"/>
      <c r="G27" s="185"/>
      <c r="H27" s="185"/>
      <c r="I27" s="185"/>
      <c r="J27" s="185"/>
      <c r="K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</row>
    <row r="28" spans="3:24">
      <c r="C28" s="185"/>
      <c r="D28" s="185"/>
      <c r="E28" s="185"/>
      <c r="F28" s="185"/>
      <c r="G28" s="185"/>
      <c r="H28" s="185"/>
      <c r="I28" s="185"/>
      <c r="J28" s="185"/>
      <c r="K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</row>
    <row r="29" spans="3:24">
      <c r="C29" s="185"/>
      <c r="D29" s="185"/>
      <c r="E29" s="185"/>
      <c r="F29" s="185"/>
      <c r="G29" s="185"/>
      <c r="H29" s="185"/>
      <c r="I29" s="185"/>
      <c r="J29" s="185"/>
      <c r="K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</row>
    <row r="30" spans="3:24">
      <c r="C30" s="185"/>
      <c r="D30" s="185"/>
      <c r="E30" s="185"/>
      <c r="F30" s="185"/>
      <c r="G30" s="185"/>
      <c r="H30" s="185"/>
      <c r="I30" s="185"/>
      <c r="J30" s="185"/>
      <c r="K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</row>
    <row r="31" spans="3:24">
      <c r="C31" s="185"/>
      <c r="D31" s="185"/>
      <c r="E31" s="185"/>
      <c r="F31" s="185"/>
      <c r="G31" s="185"/>
      <c r="H31" s="185"/>
      <c r="I31" s="185"/>
      <c r="J31" s="185"/>
      <c r="K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</row>
    <row r="32" spans="3:24">
      <c r="C32" s="185"/>
      <c r="D32" s="185"/>
      <c r="E32" s="185"/>
      <c r="F32" s="185"/>
      <c r="G32" s="185"/>
      <c r="H32" s="185"/>
      <c r="I32" s="185"/>
      <c r="J32" s="185"/>
      <c r="K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</row>
    <row r="33" spans="3:24">
      <c r="C33" s="185"/>
      <c r="D33" s="185"/>
      <c r="E33" s="185"/>
      <c r="F33" s="185"/>
      <c r="G33" s="185"/>
      <c r="H33" s="185"/>
      <c r="I33" s="185"/>
      <c r="J33" s="185"/>
      <c r="K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</row>
    <row r="34" spans="3:24">
      <c r="C34" s="185"/>
      <c r="D34" s="185"/>
      <c r="E34" s="185"/>
      <c r="F34" s="185"/>
      <c r="G34" s="185"/>
      <c r="H34" s="185"/>
      <c r="I34" s="185"/>
      <c r="J34" s="185"/>
      <c r="K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</row>
    <row r="35" spans="3:24">
      <c r="C35" s="185"/>
      <c r="D35" s="185"/>
      <c r="E35" s="185"/>
      <c r="F35" s="185"/>
      <c r="G35" s="185"/>
      <c r="H35" s="185"/>
      <c r="I35" s="185"/>
      <c r="J35" s="185"/>
      <c r="K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</row>
    <row r="36" spans="3:24">
      <c r="C36" s="185"/>
      <c r="D36" s="185"/>
      <c r="E36" s="185"/>
      <c r="F36" s="185"/>
      <c r="G36" s="185"/>
      <c r="H36" s="185"/>
      <c r="I36" s="185"/>
      <c r="J36" s="185"/>
      <c r="K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</row>
    <row r="37" spans="3:24">
      <c r="C37" s="185"/>
      <c r="D37" s="185"/>
      <c r="E37" s="185"/>
      <c r="F37" s="185"/>
      <c r="G37" s="185"/>
      <c r="H37" s="185"/>
      <c r="I37" s="185"/>
      <c r="J37" s="185"/>
      <c r="K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</row>
    <row r="38" spans="3:24">
      <c r="C38" s="185"/>
      <c r="D38" s="185"/>
      <c r="E38" s="185"/>
      <c r="F38" s="185"/>
      <c r="G38" s="185"/>
      <c r="H38" s="185"/>
      <c r="I38" s="185"/>
      <c r="J38" s="185"/>
      <c r="K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</row>
    <row r="39" spans="3:24"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4ccb0f8-418e-41dd-ac47-c8b0a5d07e75">
      <Value>Solid Waste Carriers</Value>
    </Category>
    <Document_x0020_Type xmlns="94ccb0f8-418e-41dd-ac47-c8b0a5d07e75">Other Fillable Form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1530E99F706546965C014FE7072B13" ma:contentTypeVersion="2" ma:contentTypeDescription="Create a new document." ma:contentTypeScope="" ma:versionID="bbb860d36d694921ec401c91363124b8">
  <xsd:schema xmlns:xsd="http://www.w3.org/2001/XMLSchema" xmlns:xs="http://www.w3.org/2001/XMLSchema" xmlns:p="http://schemas.microsoft.com/office/2006/metadata/properties" xmlns:ns2="94ccb0f8-418e-41dd-ac47-c8b0a5d07e75" targetNamespace="http://schemas.microsoft.com/office/2006/metadata/properties" ma:root="true" ma:fieldsID="2368b8d2e5f7d6a71b8e54223cb8180e" ns2:_="">
    <xsd:import namespace="94ccb0f8-418e-41dd-ac47-c8b0a5d07e75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b0f8-418e-41dd-ac47-c8b0a5d07e75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internalName="Categor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to Transportation and Buses"/>
                    <xsd:enumeration value="Charter and Excursion Buses"/>
                    <xsd:enumeration value="Commercial Ferries"/>
                    <xsd:enumeration value="Common Carriers"/>
                    <xsd:enumeration value="Freight Brokers"/>
                    <xsd:enumeration value="Household Goods Carriers"/>
                    <xsd:enumeration value="Low-Level Radioactive Waste"/>
                    <xsd:enumeration value="Non-Profit Buses"/>
                    <xsd:enumeration value="Pipeline"/>
                    <xsd:enumeration value="Railroads"/>
                    <xsd:enumeration value="Rail Contract Crew Carriers"/>
                    <xsd:enumeration value="Solid Waste Carriers"/>
                  </xsd:restriction>
                </xsd:simpleType>
              </xsd:element>
            </xsd:sequence>
          </xsd:extension>
        </xsd:complexContent>
      </xsd:complexType>
    </xsd:element>
    <xsd:element name="Document_x0020_Type" ma:index="9" ma:displayName="Document Type" ma:format="RadioButtons" ma:internalName="Document_x0020_Type">
      <xsd:simpleType>
        <xsd:restriction base="dms:Choice">
          <xsd:enumeration value="Annual Report Form"/>
          <xsd:enumeration value="Publication"/>
          <xsd:enumeration value="Other Fillable Form"/>
          <xsd:enumeration value="Federal Pipeline Doc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7307B-5029-49E2-A531-C5340D51FA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9D4269-3D26-4418-B12E-9015F7332C74}">
  <ds:schemaRefs>
    <ds:schemaRef ds:uri="http://purl.org/dc/terms/"/>
    <ds:schemaRef ds:uri="94ccb0f8-418e-41dd-ac47-c8b0a5d07e7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AFFF0C-8994-4A61-AC7D-76ED67F73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b0f8-418e-41dd-ac47-c8b0a5d07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LG Public 2018 V5.2c</vt:lpstr>
      <vt:lpstr>Instructions</vt:lpstr>
      <vt:lpstr>'LG Public 2018 V5.2c'!Debt_Rate</vt:lpstr>
      <vt:lpstr>'LG Public 2018 V5.2c'!debtP</vt:lpstr>
      <vt:lpstr>'LG Public 2018 V5.2c'!Equity_percent</vt:lpstr>
      <vt:lpstr>'LG Public 2018 V5.2c'!equityP</vt:lpstr>
      <vt:lpstr>'LG Public 2018 V5.2c'!expenses</vt:lpstr>
      <vt:lpstr>'LG Public 2018 V5.2c'!Investment</vt:lpstr>
      <vt:lpstr>'LG Public 2018 V5.2c'!Pfd_weighted</vt:lpstr>
      <vt:lpstr>'LG Public 2018 V5.2c'!Print_Area</vt:lpstr>
      <vt:lpstr>'LG Public 2018 V5.2c'!regDebt_weighted</vt:lpstr>
      <vt:lpstr>'LG Public 2018 V5.2c'!Revenue</vt:lpstr>
      <vt:lpstr>'LG Public 2018 V5.2c'!slope</vt:lpstr>
      <vt:lpstr>'LG Public 2018 V5.2c'!taxrate</vt:lpstr>
      <vt:lpstr>'LG Public 2018 V5.2c'!y_inter1</vt:lpstr>
      <vt:lpstr>'LG Public 2018 V5.2c'!y_inter2</vt:lpstr>
      <vt:lpstr>'LG Public 2018 V5.2c'!y_inter3</vt:lpstr>
      <vt:lpstr>'LG Public 2018 V5.2c'!y_inter4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Lurito Gallagher Methodology - Public Company</dc:title>
  <dc:creator>Kermode, Danny (UTC)</dc:creator>
  <cp:lastModifiedBy>Deferia, Virginia (UTC)</cp:lastModifiedBy>
  <cp:lastPrinted>2018-04-03T00:02:43Z</cp:lastPrinted>
  <dcterms:created xsi:type="dcterms:W3CDTF">2002-01-30T19:30:13Z</dcterms:created>
  <dcterms:modified xsi:type="dcterms:W3CDTF">2019-08-13T21:53:53Z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0x010100881530E99F706546965C014FE7072B13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Order">
    <vt:r8>1800</vt:r8>
  </property>
</Properties>
</file>